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07-Continuous\Ch07-LogNormal\2013\XLSX-LogNormal2\"/>
    </mc:Choice>
  </mc:AlternateContent>
  <bookViews>
    <workbookView xWindow="240" yWindow="15" windowWidth="18060" windowHeight="10620"/>
  </bookViews>
  <sheets>
    <sheet name="LN2" sheetId="1" r:id="rId1"/>
  </sheets>
  <calcPr calcId="152511"/>
</workbook>
</file>

<file path=xl/calcChain.xml><?xml version="1.0" encoding="utf-8"?>
<calcChain xmlns="http://schemas.openxmlformats.org/spreadsheetml/2006/main">
  <c r="A274" i="1" l="1"/>
  <c r="I181" i="1"/>
  <c r="A271" i="1" l="1"/>
  <c r="B271" i="1"/>
  <c r="A272" i="1" l="1"/>
  <c r="G271" i="1"/>
  <c r="G270" i="1"/>
  <c r="A275" i="1"/>
  <c r="A279" i="1"/>
  <c r="F251" i="1"/>
  <c r="F252" i="1"/>
  <c r="F250" i="1"/>
  <c r="B252" i="1"/>
  <c r="B251" i="1"/>
  <c r="B250" i="1"/>
  <c r="F223" i="1"/>
  <c r="G223" i="1"/>
  <c r="G225" i="1"/>
  <c r="G220" i="1"/>
  <c r="F220" i="1"/>
  <c r="E243" i="1"/>
  <c r="E242" i="1"/>
  <c r="F240" i="1"/>
  <c r="E240" i="1"/>
  <c r="E236" i="1"/>
  <c r="E237" i="1"/>
  <c r="E239" i="1"/>
  <c r="E235" i="1"/>
  <c r="F210" i="1"/>
  <c r="F211" i="1"/>
  <c r="F213" i="1"/>
  <c r="F214" i="1"/>
  <c r="B201" i="1"/>
  <c r="B197" i="1"/>
  <c r="B196" i="1"/>
  <c r="F185" i="1"/>
  <c r="F184" i="1"/>
  <c r="F183" i="1"/>
  <c r="D185" i="1"/>
  <c r="A185" i="1"/>
  <c r="A184" i="1"/>
  <c r="A183" i="1"/>
  <c r="C251" i="1"/>
  <c r="F235" i="1"/>
  <c r="G185" i="1"/>
  <c r="G183" i="1"/>
  <c r="F242" i="1"/>
  <c r="E185" i="1"/>
  <c r="B272" i="1"/>
  <c r="C250" i="1"/>
  <c r="G214" i="1"/>
  <c r="G184" i="1"/>
  <c r="H271" i="1"/>
  <c r="F243" i="1"/>
  <c r="G213" i="1"/>
  <c r="H270" i="1"/>
  <c r="I212" i="1"/>
  <c r="G251" i="1"/>
  <c r="I237" i="1"/>
  <c r="G210" i="1"/>
  <c r="B185" i="1"/>
  <c r="F236" i="1"/>
  <c r="G252" i="1"/>
  <c r="I238" i="1"/>
  <c r="C201" i="1"/>
  <c r="B183" i="1"/>
  <c r="G250" i="1"/>
  <c r="F239" i="1"/>
  <c r="C197" i="1"/>
  <c r="B184" i="1"/>
  <c r="C252" i="1"/>
  <c r="C196" i="1"/>
  <c r="A280" i="1" l="1"/>
  <c r="J322" i="1"/>
  <c r="J321" i="1"/>
  <c r="J320" i="1"/>
  <c r="J319" i="1"/>
  <c r="J317" i="1"/>
  <c r="J318" i="1"/>
  <c r="D321" i="1"/>
  <c r="E321" i="1" s="1"/>
  <c r="G321" i="1" s="1"/>
  <c r="B321" i="1"/>
  <c r="D320" i="1"/>
  <c r="E320" i="1" s="1"/>
  <c r="G320" i="1" s="1"/>
  <c r="B320" i="1"/>
  <c r="D319" i="1"/>
  <c r="E319" i="1" s="1"/>
  <c r="G319" i="1" s="1"/>
  <c r="B319" i="1"/>
  <c r="D318" i="1"/>
  <c r="E318" i="1" s="1"/>
  <c r="G318" i="1" s="1"/>
  <c r="B318" i="1"/>
  <c r="J316" i="1"/>
  <c r="J310" i="1"/>
  <c r="J311" i="1"/>
  <c r="J312" i="1"/>
  <c r="J313" i="1"/>
  <c r="J314" i="1"/>
  <c r="J315" i="1"/>
  <c r="J309" i="1"/>
  <c r="D317" i="1"/>
  <c r="E317" i="1" s="1"/>
  <c r="G317" i="1" s="1"/>
  <c r="B317" i="1"/>
  <c r="D316" i="1"/>
  <c r="E316" i="1" s="1"/>
  <c r="G316" i="1" s="1"/>
  <c r="B316" i="1"/>
  <c r="B310" i="1"/>
  <c r="B311" i="1"/>
  <c r="B312" i="1"/>
  <c r="B313" i="1"/>
  <c r="B314" i="1"/>
  <c r="B315" i="1"/>
  <c r="B322" i="1"/>
  <c r="B309" i="1"/>
  <c r="D311" i="1"/>
  <c r="E311" i="1" s="1"/>
  <c r="G311" i="1" s="1"/>
  <c r="D310" i="1"/>
  <c r="E310" i="1" s="1"/>
  <c r="G310" i="1" s="1"/>
  <c r="D312" i="1"/>
  <c r="E312" i="1" s="1"/>
  <c r="G312" i="1" s="1"/>
  <c r="D313" i="1"/>
  <c r="E313" i="1" s="1"/>
  <c r="G313" i="1" s="1"/>
  <c r="D314" i="1"/>
  <c r="E314" i="1" s="1"/>
  <c r="G314" i="1" s="1"/>
  <c r="D315" i="1"/>
  <c r="E315" i="1" s="1"/>
  <c r="G315" i="1" s="1"/>
  <c r="D322" i="1"/>
  <c r="E322" i="1" s="1"/>
  <c r="G322" i="1" s="1"/>
  <c r="D309" i="1"/>
  <c r="E309" i="1" s="1"/>
  <c r="G309" i="1" s="1"/>
  <c r="A281" i="1" l="1"/>
  <c r="F161" i="1"/>
  <c r="A188" i="1"/>
  <c r="A282" i="1" l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61" i="1"/>
  <c r="G161" i="1" s="1"/>
  <c r="A283" i="1" l="1"/>
  <c r="F224" i="1"/>
  <c r="F221" i="1"/>
  <c r="D161" i="1"/>
  <c r="A284" i="1" l="1"/>
  <c r="A269" i="1"/>
  <c r="A267" i="1"/>
  <c r="A268" i="1"/>
  <c r="A266" i="1"/>
  <c r="A270" i="1"/>
  <c r="A265" i="1"/>
  <c r="E268" i="1"/>
  <c r="H267" i="1"/>
  <c r="H268" i="1"/>
  <c r="E267" i="1"/>
  <c r="H266" i="1"/>
  <c r="E265" i="1"/>
  <c r="E266" i="1"/>
  <c r="H265" i="1"/>
  <c r="B265" i="1"/>
  <c r="I267" i="1"/>
  <c r="B267" i="1"/>
  <c r="B268" i="1"/>
  <c r="F265" i="1"/>
  <c r="B266" i="1"/>
  <c r="F266" i="1"/>
  <c r="F267" i="1"/>
  <c r="I265" i="1"/>
  <c r="B269" i="1"/>
  <c r="F268" i="1"/>
  <c r="I266" i="1"/>
  <c r="I268" i="1"/>
  <c r="B270" i="1"/>
  <c r="A285" i="1" l="1"/>
  <c r="C260" i="1"/>
  <c r="C259" i="1"/>
  <c r="A286" i="1" l="1"/>
  <c r="C261" i="1"/>
  <c r="G259" i="1" s="1"/>
  <c r="A287" i="1" l="1"/>
  <c r="E4" i="1"/>
  <c r="C262" i="1"/>
  <c r="G5" i="1" s="1"/>
  <c r="D286" i="1" l="1"/>
  <c r="A194" i="1"/>
  <c r="F274" i="1"/>
  <c r="D282" i="1"/>
  <c r="F285" i="1"/>
  <c r="F284" i="1"/>
  <c r="D279" i="1"/>
  <c r="D283" i="1"/>
  <c r="F279" i="1"/>
  <c r="F283" i="1"/>
  <c r="D280" i="1"/>
  <c r="F280" i="1"/>
  <c r="D284" i="1"/>
  <c r="F282" i="1"/>
  <c r="D281" i="1"/>
  <c r="D285" i="1"/>
  <c r="D278" i="1"/>
  <c r="F281" i="1"/>
  <c r="F278" i="1"/>
  <c r="F286" i="1"/>
  <c r="D287" i="1"/>
  <c r="A288" i="1"/>
  <c r="F287" i="1"/>
  <c r="B181" i="1"/>
  <c r="D181" i="1" s="1"/>
  <c r="A151" i="1"/>
  <c r="A98" i="1"/>
  <c r="B178" i="1"/>
  <c r="F178" i="1" s="1"/>
  <c r="B179" i="1"/>
  <c r="F179" i="1" s="1"/>
  <c r="B217" i="1"/>
  <c r="B236" i="1" s="1"/>
  <c r="B177" i="1"/>
  <c r="F177" i="1" s="1"/>
  <c r="B216" i="1"/>
  <c r="B180" i="1"/>
  <c r="F180" i="1" s="1"/>
  <c r="B218" i="1"/>
  <c r="B237" i="1" s="1"/>
  <c r="B215" i="1"/>
  <c r="B219" i="1"/>
  <c r="B238" i="1" s="1"/>
  <c r="B225" i="1"/>
  <c r="B242" i="1" s="1"/>
  <c r="B212" i="1"/>
  <c r="B162" i="1"/>
  <c r="F162" i="1" s="1"/>
  <c r="B175" i="1"/>
  <c r="F175" i="1" s="1"/>
  <c r="B213" i="1"/>
  <c r="B210" i="1"/>
  <c r="B163" i="1"/>
  <c r="F163" i="1" s="1"/>
  <c r="B176" i="1"/>
  <c r="F176" i="1" s="1"/>
  <c r="B226" i="1"/>
  <c r="B230" i="1"/>
  <c r="B244" i="1" s="1"/>
  <c r="B227" i="1"/>
  <c r="B243" i="1" s="1"/>
  <c r="B169" i="1"/>
  <c r="F169" i="1" s="1"/>
  <c r="B165" i="1"/>
  <c r="F165" i="1" s="1"/>
  <c r="B170" i="1"/>
  <c r="F170" i="1" s="1"/>
  <c r="B228" i="1"/>
  <c r="B172" i="1"/>
  <c r="F172" i="1" s="1"/>
  <c r="B224" i="1"/>
  <c r="B173" i="1"/>
  <c r="F173" i="1" s="1"/>
  <c r="B168" i="1"/>
  <c r="F168" i="1" s="1"/>
  <c r="B222" i="1"/>
  <c r="B241" i="1" s="1"/>
  <c r="B214" i="1"/>
  <c r="B211" i="1"/>
  <c r="B229" i="1"/>
  <c r="B171" i="1"/>
  <c r="F171" i="1" s="1"/>
  <c r="B174" i="1"/>
  <c r="F174" i="1" s="1"/>
  <c r="B220" i="1"/>
  <c r="B239" i="1" s="1"/>
  <c r="B167" i="1"/>
  <c r="F167" i="1" s="1"/>
  <c r="B166" i="1"/>
  <c r="F166" i="1" s="1"/>
  <c r="B164" i="1"/>
  <c r="F164" i="1" s="1"/>
  <c r="B221" i="1"/>
  <c r="B240" i="1" s="1"/>
  <c r="B223" i="1"/>
  <c r="G4" i="1"/>
  <c r="G262" i="1"/>
  <c r="B279" i="1" l="1"/>
  <c r="B281" i="1"/>
  <c r="B282" i="1"/>
  <c r="B280" i="1"/>
  <c r="B278" i="1"/>
  <c r="B286" i="1"/>
  <c r="B287" i="1"/>
  <c r="B284" i="1"/>
  <c r="G287" i="1"/>
  <c r="A149" i="1"/>
  <c r="B285" i="1"/>
  <c r="B283" i="1"/>
  <c r="A195" i="1"/>
  <c r="E285" i="1"/>
  <c r="E279" i="1"/>
  <c r="G282" i="1"/>
  <c r="F275" i="1"/>
  <c r="E283" i="1"/>
  <c r="G279" i="1"/>
  <c r="G283" i="1"/>
  <c r="G286" i="1"/>
  <c r="G280" i="1"/>
  <c r="E284" i="1"/>
  <c r="E282" i="1"/>
  <c r="E286" i="1"/>
  <c r="E280" i="1"/>
  <c r="G284" i="1"/>
  <c r="G278" i="1"/>
  <c r="G281" i="1"/>
  <c r="G285" i="1"/>
  <c r="E278" i="1"/>
  <c r="E281" i="1"/>
  <c r="E287" i="1"/>
  <c r="C287" i="1" s="1"/>
  <c r="E288" i="1"/>
  <c r="D288" i="1"/>
  <c r="B288" i="1" s="1"/>
  <c r="A289" i="1"/>
  <c r="F288" i="1"/>
  <c r="G288" i="1"/>
  <c r="G181" i="1"/>
  <c r="F181" i="1"/>
  <c r="A152" i="1"/>
  <c r="A99" i="1"/>
  <c r="D175" i="1"/>
  <c r="G175" i="1"/>
  <c r="D167" i="1"/>
  <c r="G167" i="1"/>
  <c r="D168" i="1"/>
  <c r="G168" i="1"/>
  <c r="D162" i="1"/>
  <c r="G162" i="1"/>
  <c r="D166" i="1"/>
  <c r="G166" i="1"/>
  <c r="G180" i="1"/>
  <c r="D173" i="1"/>
  <c r="G173" i="1"/>
  <c r="D174" i="1"/>
  <c r="G174" i="1"/>
  <c r="D171" i="1"/>
  <c r="G171" i="1"/>
  <c r="D176" i="1"/>
  <c r="G176" i="1"/>
  <c r="G177" i="1"/>
  <c r="D169" i="1"/>
  <c r="G169" i="1"/>
  <c r="D172" i="1"/>
  <c r="G172" i="1"/>
  <c r="D163" i="1"/>
  <c r="G163" i="1"/>
  <c r="D170" i="1"/>
  <c r="G170" i="1"/>
  <c r="G179" i="1"/>
  <c r="D164" i="1"/>
  <c r="G164" i="1"/>
  <c r="D165" i="1"/>
  <c r="G165" i="1"/>
  <c r="G178" i="1"/>
  <c r="A235" i="1"/>
  <c r="C215" i="1"/>
  <c r="C218" i="1"/>
  <c r="C180" i="1"/>
  <c r="I180" i="1" s="1"/>
  <c r="D180" i="1"/>
  <c r="C216" i="1"/>
  <c r="C177" i="1"/>
  <c r="I177" i="1" s="1"/>
  <c r="D177" i="1"/>
  <c r="C217" i="1"/>
  <c r="C179" i="1"/>
  <c r="I179" i="1" s="1"/>
  <c r="D179" i="1"/>
  <c r="C178" i="1"/>
  <c r="I178" i="1" s="1"/>
  <c r="D178" i="1"/>
  <c r="C213" i="1"/>
  <c r="C221" i="1"/>
  <c r="C164" i="1"/>
  <c r="I164" i="1" s="1"/>
  <c r="C220" i="1"/>
  <c r="C229" i="1"/>
  <c r="C228" i="1"/>
  <c r="C167" i="1"/>
  <c r="I167" i="1" s="1"/>
  <c r="C223" i="1"/>
  <c r="C163" i="1"/>
  <c r="I163" i="1" s="1"/>
  <c r="C168" i="1"/>
  <c r="I168" i="1" s="1"/>
  <c r="C211" i="1"/>
  <c r="C170" i="1"/>
  <c r="I170" i="1" s="1"/>
  <c r="C210" i="1"/>
  <c r="D210" i="1" s="1"/>
  <c r="C166" i="1"/>
  <c r="I166" i="1" s="1"/>
  <c r="C214" i="1"/>
  <c r="C165" i="1"/>
  <c r="I165" i="1" s="1"/>
  <c r="C222" i="1"/>
  <c r="D222" i="1" s="1"/>
  <c r="C169" i="1"/>
  <c r="I169" i="1" s="1"/>
  <c r="C175" i="1"/>
  <c r="I175" i="1" s="1"/>
  <c r="C227" i="1"/>
  <c r="C162" i="1"/>
  <c r="C173" i="1"/>
  <c r="I173" i="1" s="1"/>
  <c r="C230" i="1"/>
  <c r="C212" i="1"/>
  <c r="C174" i="1"/>
  <c r="I174" i="1" s="1"/>
  <c r="C224" i="1"/>
  <c r="A247" i="1" s="1"/>
  <c r="C226" i="1"/>
  <c r="C219" i="1"/>
  <c r="A249" i="1" s="1"/>
  <c r="C171" i="1"/>
  <c r="I171" i="1" s="1"/>
  <c r="C172" i="1"/>
  <c r="I172" i="1" s="1"/>
  <c r="C176" i="1"/>
  <c r="I176" i="1" s="1"/>
  <c r="C225" i="1"/>
  <c r="D225" i="1" s="1"/>
  <c r="G261" i="1"/>
  <c r="G260" i="1" s="1"/>
  <c r="B7" i="1"/>
  <c r="B6" i="1"/>
  <c r="H162" i="1" l="1"/>
  <c r="I162" i="1"/>
  <c r="C288" i="1"/>
  <c r="C280" i="1"/>
  <c r="C283" i="1"/>
  <c r="C286" i="1"/>
  <c r="C281" i="1"/>
  <c r="C282" i="1"/>
  <c r="C278" i="1"/>
  <c r="C284" i="1"/>
  <c r="C279" i="1"/>
  <c r="C285" i="1"/>
  <c r="E289" i="1"/>
  <c r="C289" i="1" s="1"/>
  <c r="D289" i="1"/>
  <c r="B289" i="1" s="1"/>
  <c r="A290" i="1"/>
  <c r="F289" i="1"/>
  <c r="G289" i="1"/>
  <c r="G221" i="1"/>
  <c r="A248" i="1"/>
  <c r="H169" i="1"/>
  <c r="H178" i="1"/>
  <c r="H170" i="1"/>
  <c r="H175" i="1"/>
  <c r="H164" i="1"/>
  <c r="H174" i="1"/>
  <c r="H167" i="1"/>
  <c r="H168" i="1"/>
  <c r="H179" i="1"/>
  <c r="H163" i="1"/>
  <c r="H165" i="1"/>
  <c r="H177" i="1"/>
  <c r="H176" i="1"/>
  <c r="H172" i="1"/>
  <c r="H173" i="1"/>
  <c r="H166" i="1"/>
  <c r="B189" i="1"/>
  <c r="B188" i="1"/>
  <c r="H171" i="1"/>
  <c r="H180" i="1"/>
  <c r="H181" i="1"/>
  <c r="B235" i="1"/>
  <c r="C235" i="1" s="1"/>
  <c r="D241" i="1"/>
  <c r="D243" i="1"/>
  <c r="D239" i="1"/>
  <c r="D242" i="1"/>
  <c r="D240" i="1"/>
  <c r="D236" i="1"/>
  <c r="D244" i="1"/>
  <c r="D237" i="1"/>
  <c r="D235" i="1"/>
  <c r="D238" i="1"/>
  <c r="D230" i="1"/>
  <c r="D223" i="1"/>
  <c r="E217" i="1"/>
  <c r="D217" i="1"/>
  <c r="D228" i="1"/>
  <c r="D212" i="1"/>
  <c r="D219" i="1"/>
  <c r="D229" i="1"/>
  <c r="E216" i="1"/>
  <c r="D216" i="1"/>
  <c r="D214" i="1"/>
  <c r="D227" i="1"/>
  <c r="D220" i="1"/>
  <c r="D211" i="1"/>
  <c r="D213" i="1"/>
  <c r="D226" i="1"/>
  <c r="D224" i="1"/>
  <c r="D221" i="1"/>
  <c r="E218" i="1"/>
  <c r="D218" i="1"/>
  <c r="E215" i="1"/>
  <c r="D215" i="1"/>
  <c r="A200" i="1"/>
  <c r="E228" i="1"/>
  <c r="E229" i="1"/>
  <c r="E227" i="1"/>
  <c r="E226" i="1"/>
  <c r="E221" i="1"/>
  <c r="G224" i="1" s="1"/>
  <c r="E230" i="1"/>
  <c r="E213" i="1"/>
  <c r="E6" i="1"/>
  <c r="E7" i="1"/>
  <c r="D290" i="1" l="1"/>
  <c r="B290" i="1" s="1"/>
  <c r="E290" i="1"/>
  <c r="C290" i="1" s="1"/>
  <c r="A291" i="1"/>
  <c r="F290" i="1"/>
  <c r="G290" i="1"/>
  <c r="C237" i="1"/>
  <c r="H182" i="1"/>
  <c r="C239" i="1"/>
  <c r="C244" i="1"/>
  <c r="C236" i="1"/>
  <c r="C242" i="1"/>
  <c r="C240" i="1"/>
  <c r="C238" i="1"/>
  <c r="C241" i="1"/>
  <c r="C243" i="1"/>
  <c r="A253" i="1"/>
  <c r="E222" i="1"/>
  <c r="E224" i="1"/>
  <c r="E214" i="1"/>
  <c r="E211" i="1"/>
  <c r="E220" i="1"/>
  <c r="E223" i="1"/>
  <c r="E225" i="1"/>
  <c r="E210" i="1"/>
  <c r="E212" i="1"/>
  <c r="E219" i="1"/>
  <c r="E5" i="1"/>
  <c r="E291" i="1" l="1"/>
  <c r="C291" i="1" s="1"/>
  <c r="D291" i="1"/>
  <c r="B291" i="1" s="1"/>
  <c r="A292" i="1"/>
  <c r="G291" i="1"/>
  <c r="F291" i="1"/>
  <c r="A255" i="1"/>
  <c r="A254" i="1"/>
  <c r="E292" i="1" l="1"/>
  <c r="C292" i="1" s="1"/>
  <c r="D292" i="1"/>
  <c r="B292" i="1" s="1"/>
  <c r="A293" i="1"/>
  <c r="F292" i="1"/>
  <c r="G292" i="1"/>
  <c r="D293" i="1" l="1"/>
  <c r="B293" i="1" s="1"/>
  <c r="E293" i="1"/>
  <c r="C293" i="1" s="1"/>
  <c r="A294" i="1"/>
  <c r="F293" i="1"/>
  <c r="G293" i="1"/>
  <c r="D294" i="1" l="1"/>
  <c r="B294" i="1" s="1"/>
  <c r="E294" i="1"/>
  <c r="C294" i="1" s="1"/>
  <c r="A295" i="1"/>
  <c r="F294" i="1"/>
  <c r="G294" i="1"/>
  <c r="E295" i="1" l="1"/>
  <c r="C295" i="1" s="1"/>
  <c r="D295" i="1"/>
  <c r="B295" i="1" s="1"/>
  <c r="A296" i="1"/>
  <c r="G295" i="1"/>
  <c r="F295" i="1"/>
  <c r="E296" i="1" l="1"/>
  <c r="C296" i="1" s="1"/>
  <c r="D296" i="1"/>
  <c r="B296" i="1" s="1"/>
  <c r="A297" i="1"/>
  <c r="A298" i="1" s="1"/>
  <c r="F296" i="1"/>
  <c r="G296" i="1"/>
  <c r="D298" i="1" l="1"/>
  <c r="B298" i="1" s="1"/>
  <c r="F298" i="1"/>
  <c r="E298" i="1"/>
  <c r="C298" i="1" s="1"/>
  <c r="A299" i="1"/>
  <c r="G298" i="1"/>
  <c r="D297" i="1"/>
  <c r="B297" i="1" s="1"/>
  <c r="E297" i="1"/>
  <c r="C297" i="1" s="1"/>
  <c r="F297" i="1"/>
  <c r="G297" i="1"/>
  <c r="F299" i="1" l="1"/>
  <c r="G299" i="1"/>
  <c r="A300" i="1"/>
  <c r="E299" i="1"/>
  <c r="C299" i="1" s="1"/>
  <c r="D299" i="1"/>
  <c r="B299" i="1" s="1"/>
  <c r="F300" i="1" l="1"/>
  <c r="G300" i="1"/>
  <c r="A301" i="1"/>
  <c r="E300" i="1"/>
  <c r="C300" i="1" s="1"/>
  <c r="D300" i="1"/>
  <c r="B300" i="1" s="1"/>
  <c r="G301" i="1" l="1"/>
  <c r="A302" i="1"/>
  <c r="A303" i="1" s="1"/>
  <c r="A304" i="1" s="1"/>
  <c r="D301" i="1"/>
  <c r="B301" i="1" s="1"/>
  <c r="E301" i="1"/>
  <c r="C301" i="1" s="1"/>
  <c r="F301" i="1"/>
  <c r="D304" i="1" l="1"/>
  <c r="B304" i="1" s="1"/>
  <c r="E304" i="1"/>
  <c r="C304" i="1" s="1"/>
  <c r="F304" i="1"/>
  <c r="G304" i="1"/>
  <c r="A305" i="1"/>
  <c r="D303" i="1"/>
  <c r="B303" i="1" s="1"/>
  <c r="G303" i="1"/>
  <c r="F303" i="1"/>
  <c r="E303" i="1"/>
  <c r="C303" i="1" s="1"/>
  <c r="G302" i="1"/>
  <c r="E302" i="1"/>
  <c r="C302" i="1" s="1"/>
  <c r="D302" i="1"/>
  <c r="B302" i="1" s="1"/>
  <c r="F302" i="1"/>
  <c r="D305" i="1" l="1"/>
  <c r="B305" i="1" s="1"/>
  <c r="G305" i="1"/>
  <c r="F305" i="1"/>
  <c r="A306" i="1"/>
  <c r="E305" i="1"/>
  <c r="C305" i="1" s="1"/>
  <c r="D306" i="1" l="1"/>
  <c r="B306" i="1" s="1"/>
  <c r="G306" i="1"/>
  <c r="F306" i="1"/>
  <c r="E306" i="1"/>
  <c r="C306" i="1" s="1"/>
</calcChain>
</file>

<file path=xl/sharedStrings.xml><?xml version="1.0" encoding="utf-8"?>
<sst xmlns="http://schemas.openxmlformats.org/spreadsheetml/2006/main" count="200" uniqueCount="135">
  <si>
    <t>mu</t>
  </si>
  <si>
    <t>Mode</t>
  </si>
  <si>
    <t>Sigma</t>
  </si>
  <si>
    <t>mu+S^2/2</t>
  </si>
  <si>
    <t>Income</t>
  </si>
  <si>
    <t xml:space="preserve">Sigma^2 </t>
  </si>
  <si>
    <t>Std.Dev</t>
  </si>
  <si>
    <t>Median</t>
  </si>
  <si>
    <t>Mean</t>
  </si>
  <si>
    <t>Ratio</t>
  </si>
  <si>
    <t>Min$</t>
  </si>
  <si>
    <t>Distribution of Households</t>
  </si>
  <si>
    <t>Distribution of Total Income</t>
  </si>
  <si>
    <t>Total Income: Normal Distribution</t>
  </si>
  <si>
    <t>Households: Normal Distribution</t>
  </si>
  <si>
    <t>Underlying mathematical details (Parameters of the two Normal distributions)</t>
  </si>
  <si>
    <t>Interpretations:</t>
  </si>
  <si>
    <t>Households</t>
  </si>
  <si>
    <t>Average Amount of XS Income per all Households</t>
  </si>
  <si>
    <t>Average amount of XS Income per household with below-average income</t>
  </si>
  <si>
    <t>Average amount of XS Income per household with above-average income</t>
  </si>
  <si>
    <t>Top % HH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</si>
  <si>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</si>
  <si>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</si>
  <si>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</si>
  <si>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</si>
  <si>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</si>
  <si>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</si>
  <si>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</si>
  <si>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</si>
  <si>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</si>
  <si>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</si>
  <si>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Schield (2014).  Creating the LogNormal Distribution. </t>
  </si>
  <si>
    <t>Q. If top 1% have 4.6 times their equal share,</t>
  </si>
  <si>
    <t>why isn't their minimum income ($1.67 million) 4.6 times the mean income ($80 thousand)?</t>
  </si>
  <si>
    <t>Percentage of total income that is earned by above-average income households.</t>
  </si>
  <si>
    <r>
      <t>"</t>
    </r>
    <r>
      <rPr>
        <b/>
        <sz val="10"/>
        <rFont val="Arial"/>
        <family val="2"/>
      </rPr>
      <t>Excess Income</t>
    </r>
    <r>
      <rPr>
        <sz val="10"/>
        <rFont val="Arial"/>
        <family val="2"/>
      </rPr>
      <t>":  Income in Excess of the Mean (Equal-Share) Income</t>
    </r>
  </si>
  <si>
    <t>STARTING FROM THE BOTTOM:</t>
  </si>
  <si>
    <t>STARTING FROM THE TOP:</t>
  </si>
  <si>
    <t>Inc%</t>
  </si>
  <si>
    <t>/HH%</t>
  </si>
  <si>
    <t>of Income</t>
  </si>
  <si>
    <t>CDF Pctg of</t>
  </si>
  <si>
    <t>CDF Pctg</t>
  </si>
  <si>
    <t>CDF</t>
  </si>
  <si>
    <t>Min / Mean</t>
  </si>
  <si>
    <t>XS/TTL</t>
  </si>
  <si>
    <t>Gini Coefficient</t>
  </si>
  <si>
    <t>Ratio: "Pctg of Top Income" / "Pctg of Top Households"</t>
  </si>
  <si>
    <t>Pctg of XS</t>
  </si>
  <si>
    <t>Percentage of households that have above-average incomes</t>
  </si>
  <si>
    <t>Percentage of total income that is Excess Income.</t>
  </si>
  <si>
    <t>Eq-Dist</t>
  </si>
  <si>
    <t>&gt; www.StatLit.org/Excel/2014-Schield-Explore-LogNormal-Income-Excel2013.xlsx</t>
  </si>
  <si>
    <t>This worksheet is available at:</t>
  </si>
  <si>
    <t>Difference</t>
  </si>
  <si>
    <t>IncomePDF</t>
  </si>
  <si>
    <t>TOTAL</t>
  </si>
  <si>
    <t>Exact</t>
  </si>
  <si>
    <t>Rounded</t>
  </si>
  <si>
    <t>Income (K)</t>
  </si>
  <si>
    <t>CDF: "Cumulative Distribution Function"</t>
  </si>
  <si>
    <t>PDF "Probability Distribution Function"</t>
  </si>
  <si>
    <t>For background on Households and Income distributed LogNormally, see</t>
  </si>
  <si>
    <t xml:space="preserve">Schield (2014). </t>
  </si>
  <si>
    <t>Exploring the LogNormal Distribution.   NNN Workshop.  Slides at</t>
  </si>
  <si>
    <t>&gt; www.StatLit.org/Excel/2014-Schield-Explore-LogNormal-Income-Excel-Slides.pdf</t>
  </si>
  <si>
    <t>MeanInc$</t>
  </si>
  <si>
    <t>%$$Below</t>
  </si>
  <si>
    <t>%HHBelow</t>
  </si>
  <si>
    <t>Gini</t>
  </si>
  <si>
    <t>Mean/Med</t>
  </si>
  <si>
    <t>HhB/InB</t>
  </si>
  <si>
    <t>%InB/%HhB</t>
  </si>
  <si>
    <t>Gini Coefficient = Pctg of Income that is Excess = 2*(Pctg of Households below Mean Income - 0.5)</t>
  </si>
  <si>
    <t>= Percentage of Households above the Median that are below the Average</t>
  </si>
  <si>
    <t>SD</t>
  </si>
  <si>
    <t>Skew</t>
  </si>
  <si>
    <t>XS Income = Total Income above average - MeanIncome*#HH that have above-average incomes</t>
  </si>
  <si>
    <t>XSIncome / Total Income = 1 - ???</t>
  </si>
  <si>
    <t>Pctg of HH that have incomes above the average = 100% - Pctg of HH that have incomes below average.</t>
  </si>
  <si>
    <t>Pctg of Total Income that are earned by HH above Average = Pctg of HH that have incomes below average</t>
  </si>
  <si>
    <t>Gini Curve = Pctg of Total Income below Income / Pctg of total HH below Income</t>
  </si>
  <si>
    <t>LN_Inc$$</t>
  </si>
  <si>
    <t>LN_HH</t>
  </si>
  <si>
    <t>b = B</t>
  </si>
  <si>
    <t>a = A + B^2</t>
  </si>
  <si>
    <t xml:space="preserve">(1 + exp(-A -BX) / (1 + exp(-a -bX)) </t>
  </si>
  <si>
    <t>GiniCurve</t>
  </si>
  <si>
    <t xml:space="preserve">(1 + exp(-a - b^2 -bX) / (1 + exp(-a -bX)) </t>
  </si>
  <si>
    <t>Log(GC)</t>
  </si>
  <si>
    <t>LogE (1 + exp(-a-b^2-bX) - LogE(1 + exp(-a-bX))</t>
  </si>
  <si>
    <t>Exp(-1*((lnX - mu)^2)/(2*sigma^2))))  / (X*Sigma*Sqrt(2*Pi))</t>
  </si>
  <si>
    <t>Share of income earned by below-average income households.</t>
  </si>
  <si>
    <t>Percentage of households that have below-average income.</t>
  </si>
  <si>
    <t>The sum of the two percentages shown above is always 100% for a Log-Normal distribution.</t>
  </si>
  <si>
    <t>Theorem1:</t>
  </si>
  <si>
    <t>Theorem2</t>
  </si>
  <si>
    <t>The second percentage above is always twice the first for a log-normal distribution</t>
  </si>
  <si>
    <t>This theorem has been tested empirically, but has not been proven analytically</t>
  </si>
  <si>
    <t>Shown on the next line:</t>
  </si>
  <si>
    <t>Formula</t>
  </si>
  <si>
    <t>Cell</t>
  </si>
  <si>
    <t xml:space="preserve"> Formula</t>
  </si>
  <si>
    <t>XS Income earned by top 1% if per household with BELOW-average income</t>
  </si>
  <si>
    <t>XS Income earned by top 0.1% if per household with BELOW-average income</t>
  </si>
  <si>
    <t>XS Income earned by top 5% if per household with BELOW-average income</t>
  </si>
  <si>
    <t>HH PDF</t>
  </si>
  <si>
    <t>Income (k)</t>
  </si>
  <si>
    <t>HH CDF</t>
  </si>
  <si>
    <t>INC CDF</t>
  </si>
  <si>
    <t>INC PDF</t>
  </si>
  <si>
    <t>Modal Income of Household Distribution</t>
  </si>
  <si>
    <t>HH% PDF</t>
  </si>
  <si>
    <t>INC% PDF</t>
  </si>
  <si>
    <t>PDF of Modal Income of HH</t>
  </si>
  <si>
    <t>PDF of Modal Income of Income</t>
  </si>
  <si>
    <t>Subdivisions of the median</t>
  </si>
  <si>
    <t>Pctg of HH that are</t>
  </si>
  <si>
    <t>See Theorem 1</t>
  </si>
  <si>
    <t>3E</t>
  </si>
  <si>
    <t>C,D,E, G: % of HH (Income) for HH with below-average Income</t>
  </si>
  <si>
    <t>Median Income</t>
  </si>
  <si>
    <t>XS/TotAbv</t>
  </si>
  <si>
    <t>CDF$ /</t>
  </si>
  <si>
    <t>CDF#</t>
  </si>
  <si>
    <t>Same applies for the two percentage for above-average incomes and households.</t>
  </si>
  <si>
    <t>Schield Cumulative Balance Theorem</t>
  </si>
  <si>
    <t>www.stlouisfed.org/on-the-economy/wealth-inequality-bigger-problem-us-income-inequality/</t>
  </si>
  <si>
    <t>Assume Households are distributed log-normally by Assets. Enter Mean and Median</t>
  </si>
  <si>
    <t>below mean assets</t>
  </si>
  <si>
    <t>Percentage of households that have below-average assets.</t>
  </si>
  <si>
    <t>Percentage of households that have above-average assets.</t>
  </si>
  <si>
    <t>Percentage of total assets owned by above-average asset households.</t>
  </si>
  <si>
    <t>Modal Income of Asset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</si>
</sst>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164" formatCode="0.0"/>
    <numFmt numFmtId="165" formatCode="0.0%"/>
    <numFmt numFmtId="166" formatCode="0.000"/>
    <numFmt numFmtId="167" formatCode="#,##0.0"/>
    <numFmt numFmtId="168" formatCode="0.000%"/>
    <numFmt numFmtId="169" formatCode="0.0000%"/>
    <numFmt numFmtId="170" formatCode="0.00000%"/>
    <numFmt numFmtId="171" formatCode="&quot;$&quot;#,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0" borderId="0" xfId="0" quotePrefix="1"/>
    <xf numFmtId="0" fontId="0" fillId="0" borderId="5" xfId="0" applyBorder="1"/>
    <xf numFmtId="166" fontId="0" fillId="0" borderId="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0" xfId="0" applyFont="1" applyAlignment="1">
      <alignment horizontal="right"/>
    </xf>
    <xf numFmtId="166" fontId="0" fillId="0" borderId="4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3" fillId="0" borderId="0" xfId="0" quotePrefix="1" applyFont="1"/>
    <xf numFmtId="0" fontId="0" fillId="2" borderId="0" xfId="0" applyFill="1"/>
    <xf numFmtId="164" fontId="1" fillId="2" borderId="0" xfId="0" quotePrefix="1" applyNumberFormat="1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1" fillId="0" borderId="0" xfId="0" quotePrefix="1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3" fontId="1" fillId="0" borderId="0" xfId="0" quotePrefix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3" fontId="1" fillId="0" borderId="6" xfId="0" quotePrefix="1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3" fontId="1" fillId="0" borderId="11" xfId="0" quotePrefix="1" applyNumberFormat="1" applyFont="1" applyBorder="1" applyAlignment="1">
      <alignment horizontal="center"/>
    </xf>
    <xf numFmtId="3" fontId="1" fillId="0" borderId="12" xfId="0" quotePrefix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1" fillId="0" borderId="11" xfId="0" quotePrefix="1" applyNumberFormat="1" applyFont="1" applyBorder="1" applyAlignment="1">
      <alignment horizontal="center"/>
    </xf>
    <xf numFmtId="165" fontId="0" fillId="0" borderId="0" xfId="0" applyNumberFormat="1"/>
    <xf numFmtId="3" fontId="5" fillId="0" borderId="8" xfId="0" applyNumberFormat="1" applyFont="1" applyFill="1" applyBorder="1" applyAlignment="1">
      <alignment horizontal="center"/>
    </xf>
    <xf numFmtId="3" fontId="0" fillId="0" borderId="10" xfId="0" quotePrefix="1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1" fillId="0" borderId="0" xfId="0" quotePrefix="1" applyNumberFormat="1" applyFont="1" applyBorder="1" applyAlignment="1">
      <alignment horizontal="left"/>
    </xf>
    <xf numFmtId="165" fontId="1" fillId="0" borderId="6" xfId="0" quotePrefix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1" xfId="0" quotePrefix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9" fontId="1" fillId="0" borderId="0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/>
    <xf numFmtId="0" fontId="0" fillId="0" borderId="0" xfId="0" applyAlignment="1">
      <alignment horizontal="right"/>
    </xf>
    <xf numFmtId="10" fontId="0" fillId="0" borderId="0" xfId="0" applyNumberFormat="1"/>
    <xf numFmtId="0" fontId="3" fillId="0" borderId="0" xfId="0" applyFont="1" applyAlignment="1">
      <alignment horizontal="left"/>
    </xf>
    <xf numFmtId="0" fontId="1" fillId="3" borderId="0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0" fontId="1" fillId="0" borderId="6" xfId="0" quotePrefix="1" applyNumberFormat="1" applyFont="1" applyBorder="1" applyAlignment="1">
      <alignment horizontal="center"/>
    </xf>
    <xf numFmtId="0" fontId="6" fillId="0" borderId="0" xfId="0" applyFont="1"/>
    <xf numFmtId="10" fontId="1" fillId="0" borderId="12" xfId="0" quotePrefix="1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7" xfId="0" applyNumberFormat="1" applyBorder="1"/>
    <xf numFmtId="165" fontId="0" fillId="0" borderId="4" xfId="0" applyNumberFormat="1" applyBorder="1"/>
    <xf numFmtId="167" fontId="0" fillId="0" borderId="0" xfId="0" applyNumberFormat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0" fontId="8" fillId="0" borderId="0" xfId="0" applyFont="1"/>
    <xf numFmtId="0" fontId="9" fillId="0" borderId="0" xfId="0" applyFont="1"/>
    <xf numFmtId="2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9" fontId="0" fillId="0" borderId="0" xfId="0" applyNumberFormat="1" applyBorder="1" applyAlignment="1">
      <alignment horizontal="center"/>
    </xf>
    <xf numFmtId="168" fontId="1" fillId="0" borderId="6" xfId="0" quotePrefix="1" applyNumberFormat="1" applyFont="1" applyBorder="1" applyAlignment="1">
      <alignment horizontal="center"/>
    </xf>
    <xf numFmtId="169" fontId="1" fillId="0" borderId="6" xfId="0" quotePrefix="1" applyNumberFormat="1" applyFont="1" applyBorder="1" applyAlignment="1">
      <alignment horizontal="center"/>
    </xf>
    <xf numFmtId="169" fontId="1" fillId="0" borderId="12" xfId="0" quotePrefix="1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171" fontId="1" fillId="0" borderId="0" xfId="0" quotePrefix="1" applyNumberFormat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0" fontId="0" fillId="0" borderId="0" xfId="0" quotePrefix="1" applyNumberFormat="1" applyAlignment="1">
      <alignment horizontal="center"/>
    </xf>
    <xf numFmtId="0" fontId="10" fillId="0" borderId="0" xfId="1"/>
    <xf numFmtId="3" fontId="2" fillId="0" borderId="0" xfId="0" quotePrefix="1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Cumulative Excess Income:</a:t>
            </a:r>
            <a:r>
              <a:rPr lang="en-US" sz="1400" b="1" baseline="0">
                <a:solidFill>
                  <a:schemeClr val="tx1"/>
                </a:solidFill>
              </a:rPr>
              <a:t> </a:t>
            </a:r>
            <a:r>
              <a:rPr lang="en-US" sz="1400" b="1">
                <a:solidFill>
                  <a:schemeClr val="tx1"/>
                </a:solidFill>
              </a:rPr>
              <a:t>Percentage of Total Excess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436802207901644E-2"/>
          <c:y val="0.13543792290435699"/>
          <c:w val="0.88112876553795572"/>
          <c:h val="0.654630599624113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'LN2'!$C$234</c:f>
              <c:strCache>
                <c:ptCount val="1"/>
                <c:pt idx="0">
                  <c:v>Pctg of XS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'LN2'!$A$235:$A$244</c:f>
              <c:numCache>
                <c:formatCode>0%</c:formatCode>
                <c:ptCount val="10"/>
                <c:pt idx="0" formatCode="0.0%">
                  <c:v>0.16922539674145276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0.05</c:v>
                </c:pt>
                <c:pt idx="5">
                  <c:v>0.02</c:v>
                </c:pt>
                <c:pt idx="6">
                  <c:v>0.01</c:v>
                </c:pt>
                <c:pt idx="7" formatCode="0.0%">
                  <c:v>1E-3</c:v>
                </c:pt>
                <c:pt idx="8" formatCode="0.00%">
                  <c:v>1E-4</c:v>
                </c:pt>
                <c:pt idx="9" formatCode="0.000%">
                  <c:v>1.0000000000000001E-5</c:v>
                </c:pt>
              </c:numCache>
            </c:numRef>
          </c:xVal>
          <c:yVal>
            <c:numRef>
              <c:f>'LN2'!$C$235:$C$244</c:f>
              <c:numCache>
                <c:formatCode>0.0%</c:formatCode>
                <c:ptCount val="10"/>
                <c:pt idx="0">
                  <c:v>1</c:v>
                </c:pt>
                <c:pt idx="1">
                  <c:v>0.92213212352748353</c:v>
                </c:pt>
                <c:pt idx="2">
                  <c:v>0.88671223869040783</c:v>
                </c:pt>
                <c:pt idx="3">
                  <c:v>0.76527797619262894</c:v>
                </c:pt>
                <c:pt idx="4">
                  <c:v>0.59649611025446125</c:v>
                </c:pt>
                <c:pt idx="5">
                  <c:v>0.48403257076734124</c:v>
                </c:pt>
                <c:pt idx="6">
                  <c:v>0.36911576574810812</c:v>
                </c:pt>
                <c:pt idx="7">
                  <c:v>0.12606881275496412</c:v>
                </c:pt>
                <c:pt idx="8" formatCode="0.00%">
                  <c:v>5.3619859705398093E-2</c:v>
                </c:pt>
                <c:pt idx="9" formatCode="0.00%">
                  <c:v>1.4157504055732257E-2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'LN2'!$D$234</c:f>
              <c:strCache>
                <c:ptCount val="1"/>
                <c:pt idx="0">
                  <c:v>Eq-Dist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'LN2'!$A$235:$A$244</c:f>
              <c:numCache>
                <c:formatCode>0%</c:formatCode>
                <c:ptCount val="10"/>
                <c:pt idx="0" formatCode="0.0%">
                  <c:v>0.16922539674145276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0.05</c:v>
                </c:pt>
                <c:pt idx="5">
                  <c:v>0.02</c:v>
                </c:pt>
                <c:pt idx="6">
                  <c:v>0.01</c:v>
                </c:pt>
                <c:pt idx="7" formatCode="0.0%">
                  <c:v>1E-3</c:v>
                </c:pt>
                <c:pt idx="8" formatCode="0.00%">
                  <c:v>1E-4</c:v>
                </c:pt>
                <c:pt idx="9" formatCode="0.000%">
                  <c:v>1.0000000000000001E-5</c:v>
                </c:pt>
              </c:numCache>
            </c:numRef>
          </c:xVal>
          <c:yVal>
            <c:numRef>
              <c:f>'LN2'!$D$235:$D$244</c:f>
              <c:numCache>
                <c:formatCode>0.0%</c:formatCode>
                <c:ptCount val="10"/>
                <c:pt idx="0">
                  <c:v>1</c:v>
                </c:pt>
                <c:pt idx="1">
                  <c:v>1.1818557016330447</c:v>
                </c:pt>
                <c:pt idx="2">
                  <c:v>0.88639177622478349</c:v>
                </c:pt>
                <c:pt idx="3">
                  <c:v>0.59092785081652233</c:v>
                </c:pt>
                <c:pt idx="4">
                  <c:v>0.29546392540826116</c:v>
                </c:pt>
                <c:pt idx="5">
                  <c:v>0.11818557016330447</c:v>
                </c:pt>
                <c:pt idx="6">
                  <c:v>5.9092785081652235E-2</c:v>
                </c:pt>
                <c:pt idx="7">
                  <c:v>5.909278508165223E-3</c:v>
                </c:pt>
                <c:pt idx="8">
                  <c:v>5.9092785081652237E-4</c:v>
                </c:pt>
                <c:pt idx="9">
                  <c:v>5.9092785081652238E-5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61096"/>
        <c:axId val="307154824"/>
      </c:scatterChart>
      <c:valAx>
        <c:axId val="3071610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Percentage of Households that have incomes above this Point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4824"/>
        <c:crosses val="autoZero"/>
        <c:crossBetween val="midCat"/>
      </c:valAx>
      <c:valAx>
        <c:axId val="307154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610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Modeling the Gini Coefficient &amp; Excess Income</a:t>
            </a:r>
          </a:p>
          <a:p>
            <a:pPr>
              <a:defRPr sz="1600" b="1">
                <a:solidFill>
                  <a:schemeClr val="tx1"/>
                </a:solidFill>
              </a:defRPr>
            </a:pPr>
            <a:r>
              <a:rPr lang="en-US" sz="1600" b="1">
                <a:solidFill>
                  <a:schemeClr val="tx1"/>
                </a:solidFill>
              </a:rPr>
              <a:t>by % of HH that have below Average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405074365704292E-2"/>
          <c:y val="0.18348388743073782"/>
          <c:w val="0.87047003499562559"/>
          <c:h val="0.568537474482356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'LN2'!$F$308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'LN2'!$C$309:$C$322</c:f>
              <c:numCache>
                <c:formatCode>0.0%</c:formatCode>
                <c:ptCount val="14"/>
                <c:pt idx="0">
                  <c:v>0.51300000000000001</c:v>
                </c:pt>
                <c:pt idx="1">
                  <c:v>0.54</c:v>
                </c:pt>
                <c:pt idx="2">
                  <c:v>0.55600000000000005</c:v>
                </c:pt>
                <c:pt idx="3">
                  <c:v>0.58599999999999997</c:v>
                </c:pt>
                <c:pt idx="4">
                  <c:v>0.61899999999999999</c:v>
                </c:pt>
                <c:pt idx="5">
                  <c:v>0.68600000000000005</c:v>
                </c:pt>
                <c:pt idx="6">
                  <c:v>0.72199999999999998</c:v>
                </c:pt>
                <c:pt idx="7">
                  <c:v>0.77100000000000002</c:v>
                </c:pt>
                <c:pt idx="8">
                  <c:v>0.79700000000000004</c:v>
                </c:pt>
                <c:pt idx="9">
                  <c:v>0.82799999999999996</c:v>
                </c:pt>
                <c:pt idx="10">
                  <c:v>0.85799999999999998</c:v>
                </c:pt>
                <c:pt idx="11">
                  <c:v>0.89</c:v>
                </c:pt>
                <c:pt idx="12">
                  <c:v>0.91300000000000003</c:v>
                </c:pt>
                <c:pt idx="13">
                  <c:v>0.93500000000000005</c:v>
                </c:pt>
              </c:numCache>
            </c:numRef>
          </c:xVal>
          <c:yVal>
            <c:numRef>
              <c:f>'LN2'!$F$309:$F$322</c:f>
              <c:numCache>
                <c:formatCode>General</c:formatCode>
                <c:ptCount val="14"/>
                <c:pt idx="0" formatCode="0.000">
                  <c:v>3.5999999999999997E-2</c:v>
                </c:pt>
                <c:pt idx="1">
                  <c:v>0.112</c:v>
                </c:pt>
                <c:pt idx="2">
                  <c:v>0.157</c:v>
                </c:pt>
                <c:pt idx="3">
                  <c:v>0.24199999999999999</c:v>
                </c:pt>
                <c:pt idx="4" formatCode="0.000">
                  <c:v>0.33100000000000002</c:v>
                </c:pt>
                <c:pt idx="5" formatCode="0.000">
                  <c:v>0.50700000000000001</c:v>
                </c:pt>
                <c:pt idx="6">
                  <c:v>0.59499999999999997</c:v>
                </c:pt>
                <c:pt idx="7">
                  <c:v>0.70499999999999996</c:v>
                </c:pt>
                <c:pt idx="8">
                  <c:v>0.76100000000000001</c:v>
                </c:pt>
                <c:pt idx="9">
                  <c:v>0.81899999999999995</c:v>
                </c:pt>
                <c:pt idx="10">
                  <c:v>0.871</c:v>
                </c:pt>
                <c:pt idx="11">
                  <c:v>0.91700000000000004</c:v>
                </c:pt>
                <c:pt idx="12">
                  <c:v>0.94499999999999995</c:v>
                </c:pt>
                <c:pt idx="13">
                  <c:v>0.96799999999999997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'LN2'!$H$308</c:f>
              <c:strCache>
                <c:ptCount val="1"/>
                <c:pt idx="0">
                  <c:v>XS/TotAbv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'LN2'!$C$309:$C$322</c:f>
              <c:numCache>
                <c:formatCode>0.0%</c:formatCode>
                <c:ptCount val="14"/>
                <c:pt idx="0">
                  <c:v>0.51300000000000001</c:v>
                </c:pt>
                <c:pt idx="1">
                  <c:v>0.54</c:v>
                </c:pt>
                <c:pt idx="2">
                  <c:v>0.55600000000000005</c:v>
                </c:pt>
                <c:pt idx="3">
                  <c:v>0.58599999999999997</c:v>
                </c:pt>
                <c:pt idx="4">
                  <c:v>0.61899999999999999</c:v>
                </c:pt>
                <c:pt idx="5">
                  <c:v>0.68600000000000005</c:v>
                </c:pt>
                <c:pt idx="6">
                  <c:v>0.72199999999999998</c:v>
                </c:pt>
                <c:pt idx="7">
                  <c:v>0.77100000000000002</c:v>
                </c:pt>
                <c:pt idx="8">
                  <c:v>0.79700000000000004</c:v>
                </c:pt>
                <c:pt idx="9">
                  <c:v>0.82799999999999996</c:v>
                </c:pt>
                <c:pt idx="10">
                  <c:v>0.85799999999999998</c:v>
                </c:pt>
                <c:pt idx="11">
                  <c:v>0.89</c:v>
                </c:pt>
                <c:pt idx="12">
                  <c:v>0.91300000000000003</c:v>
                </c:pt>
                <c:pt idx="13">
                  <c:v>0.93500000000000005</c:v>
                </c:pt>
              </c:numCache>
            </c:numRef>
          </c:xVal>
          <c:yVal>
            <c:numRef>
              <c:f>'LN2'!$H$309:$H$322</c:f>
              <c:numCache>
                <c:formatCode>0.000</c:formatCode>
                <c:ptCount val="14"/>
                <c:pt idx="0">
                  <c:v>2.5000000000000001E-2</c:v>
                </c:pt>
                <c:pt idx="1">
                  <c:v>7.9000000000000001E-2</c:v>
                </c:pt>
                <c:pt idx="2">
                  <c:v>0.111</c:v>
                </c:pt>
                <c:pt idx="3">
                  <c:v>0.17299999999999999</c:v>
                </c:pt>
                <c:pt idx="4">
                  <c:v>0.23699999999999999</c:v>
                </c:pt>
                <c:pt idx="5">
                  <c:v>0.372</c:v>
                </c:pt>
                <c:pt idx="6">
                  <c:v>0.44400000000000001</c:v>
                </c:pt>
                <c:pt idx="7">
                  <c:v>0.54100000000000004</c:v>
                </c:pt>
                <c:pt idx="8">
                  <c:v>0.59499999999999997</c:v>
                </c:pt>
                <c:pt idx="9">
                  <c:v>0.65600000000000003</c:v>
                </c:pt>
                <c:pt idx="10">
                  <c:v>0.71699999999999997</c:v>
                </c:pt>
                <c:pt idx="11">
                  <c:v>0.77900000000000003</c:v>
                </c:pt>
                <c:pt idx="12">
                  <c:v>0.82599999999999996</c:v>
                </c:pt>
                <c:pt idx="13">
                  <c:v>0.871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63016"/>
        <c:axId val="488461448"/>
      </c:scatterChart>
      <c:valAx>
        <c:axId val="488463016"/>
        <c:scaling>
          <c:orientation val="minMax"/>
          <c:max val="0.95000000000000007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Pctg of Households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that are Below the Average Income</a:t>
                </a:r>
                <a:endParaRPr lang="en-US" sz="12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61448"/>
        <c:crosses val="autoZero"/>
        <c:crossBetween val="midCat"/>
        <c:majorUnit val="5.000000000000001E-2"/>
      </c:valAx>
      <c:valAx>
        <c:axId val="4884614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63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Minimum Assets (K)</a:t>
            </a:r>
            <a:r>
              <a:rPr lang="en-US" sz="1600" b="1" baseline="0"/>
              <a:t> vs. Household Percentile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086397258193974E-2"/>
          <c:y val="0.15022133427351433"/>
          <c:w val="0.85310808876163202"/>
          <c:h val="0.666690229748362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'LN2'!$F$160</c:f>
              <c:strCache>
                <c:ptCount val="1"/>
                <c:pt idx="0">
                  <c:v>Income (K)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'LN2'!$A$162:$A$181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0.99509999999999998</c:v>
                </c:pt>
              </c:numCache>
            </c:numRef>
          </c:xVal>
          <c:yVal>
            <c:numRef>
              <c:f>'LN2'!$F$162:$F$181</c:f>
              <c:numCache>
                <c:formatCode>#,##0.0</c:formatCode>
                <c:ptCount val="20"/>
                <c:pt idx="0">
                  <c:v>3.4</c:v>
                </c:pt>
                <c:pt idx="1">
                  <c:v>6.9</c:v>
                </c:pt>
                <c:pt idx="2">
                  <c:v>11</c:v>
                </c:pt>
                <c:pt idx="3">
                  <c:v>16</c:v>
                </c:pt>
                <c:pt idx="4">
                  <c:v>22</c:v>
                </c:pt>
                <c:pt idx="5">
                  <c:v>29.3</c:v>
                </c:pt>
                <c:pt idx="6">
                  <c:v>38.299999999999997</c:v>
                </c:pt>
                <c:pt idx="7">
                  <c:v>49.3</c:v>
                </c:pt>
                <c:pt idx="8">
                  <c:v>62.9</c:v>
                </c:pt>
                <c:pt idx="9">
                  <c:v>80</c:v>
                </c:pt>
                <c:pt idx="10">
                  <c:v>101.8</c:v>
                </c:pt>
                <c:pt idx="11">
                  <c:v>129.9</c:v>
                </c:pt>
                <c:pt idx="12">
                  <c:v>167.3</c:v>
                </c:pt>
                <c:pt idx="13">
                  <c:v>218.3</c:v>
                </c:pt>
                <c:pt idx="14">
                  <c:v>291</c:v>
                </c:pt>
                <c:pt idx="15">
                  <c:v>400.7</c:v>
                </c:pt>
                <c:pt idx="16">
                  <c:v>581.9</c:v>
                </c:pt>
                <c:pt idx="17">
                  <c:v>930.3</c:v>
                </c:pt>
                <c:pt idx="18">
                  <c:v>1865</c:v>
                </c:pt>
                <c:pt idx="19">
                  <c:v>11234.1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56000"/>
        <c:axId val="307161488"/>
      </c:scatterChart>
      <c:valAx>
        <c:axId val="307156000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Percentage of Households that have assets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</a:t>
                </a:r>
                <a:r>
                  <a:rPr lang="en-US" sz="1100" b="1">
                    <a:solidFill>
                      <a:schemeClr val="tx1"/>
                    </a:solidFill>
                  </a:rPr>
                  <a:t>below this point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61488"/>
        <c:crosses val="autoZero"/>
        <c:crossBetween val="midCat"/>
      </c:valAx>
      <c:valAx>
        <c:axId val="307161488"/>
        <c:scaling>
          <c:orientation val="minMax"/>
          <c:max val="50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Minimum Amount</a:t>
            </a:r>
            <a:r>
              <a:rPr lang="en-US" sz="1600" b="1" baseline="0">
                <a:solidFill>
                  <a:schemeClr val="tx1"/>
                </a:solidFill>
              </a:rPr>
              <a:t> vs. Household Percentile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97235902671905"/>
          <c:y val="0.14460024215656711"/>
          <c:w val="0.84203700364039402"/>
          <c:h val="0.64678566919790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'LN2'!$A$160</c:f>
              <c:strCache>
                <c:ptCount val="1"/>
                <c:pt idx="0">
                  <c:v>Households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'LN2'!$A$161:$A$180</c:f>
              <c:numCache>
                <c:formatCode>0%</c:formatCode>
                <c:ptCount val="20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'LN2'!$B$161:$B$180</c:f>
              <c:numCache>
                <c:formatCode>#,##0</c:formatCode>
                <c:ptCount val="20"/>
                <c:pt idx="0" formatCode="#,##0.0">
                  <c:v>0</c:v>
                </c:pt>
                <c:pt idx="1">
                  <c:v>3431.5692127848788</c:v>
                </c:pt>
                <c:pt idx="2">
                  <c:v>6879.4965349580889</c:v>
                </c:pt>
                <c:pt idx="3">
                  <c:v>10999.114704288313</c:v>
                </c:pt>
                <c:pt idx="4">
                  <c:v>15971.009381473876</c:v>
                </c:pt>
                <c:pt idx="5">
                  <c:v>21993.390127880648</c:v>
                </c:pt>
                <c:pt idx="6">
                  <c:v>29314.492838099635</c:v>
                </c:pt>
                <c:pt idx="7">
                  <c:v>38257.72219184172</c:v>
                </c:pt>
                <c:pt idx="8">
                  <c:v>49254.629020364315</c:v>
                </c:pt>
                <c:pt idx="9">
                  <c:v>62894.129020638436</c:v>
                </c:pt>
                <c:pt idx="10">
                  <c:v>79999.999999999942</c:v>
                </c:pt>
                <c:pt idx="11">
                  <c:v>101758.30557888575</c:v>
                </c:pt>
                <c:pt idx="12">
                  <c:v>129937.02576368839</c:v>
                </c:pt>
                <c:pt idx="13">
                  <c:v>167286.48840899268</c:v>
                </c:pt>
                <c:pt idx="14">
                  <c:v>218322.04416246974</c:v>
                </c:pt>
                <c:pt idx="15">
                  <c:v>290996.52044487768</c:v>
                </c:pt>
                <c:pt idx="16">
                  <c:v>400726.08105934074</c:v>
                </c:pt>
                <c:pt idx="17">
                  <c:v>581865.01114537625</c:v>
                </c:pt>
                <c:pt idx="18">
                  <c:v>930300.63573380106</c:v>
                </c:pt>
                <c:pt idx="19">
                  <c:v>1865035.9655156368</c:v>
                </c:pt>
              </c:numCache>
            </c:numRef>
          </c:yVal>
          <c:smooth val="1"/>
        </c:ser>
        <c:ser>
          <c:idx val="1"/>
          <c:order val="1"/>
          <c:tx>
            <c:v>Mean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'LN2'!$A$161:$A$181</c:f>
              <c:numCache>
                <c:formatCode>0%</c:formatCode>
                <c:ptCount val="2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0.99509999999999998</c:v>
                </c:pt>
              </c:numCache>
            </c:numRef>
          </c:xVal>
          <c:yVal>
            <c:numRef>
              <c:f>'LN2'!$E$161:$E$181</c:f>
              <c:numCache>
                <c:formatCode>#,##0</c:formatCode>
                <c:ptCount val="21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161880"/>
        <c:axId val="307157960"/>
      </c:scatterChart>
      <c:valAx>
        <c:axId val="3071618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 Percentage of Households by Increasing Assets</a:t>
                </a:r>
              </a:p>
            </c:rich>
          </c:tx>
          <c:layout>
            <c:manualLayout>
              <c:xMode val="edge"/>
              <c:yMode val="edge"/>
              <c:x val="0.25438977432147597"/>
              <c:y val="0.87052047962960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7960"/>
        <c:crosses val="autoZero"/>
        <c:crossBetween val="midCat"/>
      </c:valAx>
      <c:valAx>
        <c:axId val="307157960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61880"/>
        <c:crosses val="autoZero"/>
        <c:crossBetween val="midCat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Assets PDF: Percentage of Total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83911782600784E-2"/>
          <c:y val="0.14427175532245731"/>
          <c:w val="0.87143353273734181"/>
          <c:h val="0.63968842325283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'LN2'!$H$160</c:f>
              <c:strCache>
                <c:ptCount val="1"/>
                <c:pt idx="0">
                  <c:v>IncomePDF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'LN2'!$A$161:$A$181</c:f>
              <c:numCache>
                <c:formatCode>0%</c:formatCode>
                <c:ptCount val="2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0.99509999999999998</c:v>
                </c:pt>
              </c:numCache>
            </c:numRef>
          </c:cat>
          <c:val>
            <c:numRef>
              <c:f>'LN2'!$H$161:$H$181</c:f>
              <c:numCache>
                <c:formatCode>0.0%</c:formatCode>
                <c:ptCount val="21"/>
                <c:pt idx="1">
                  <c:v>1.8591156599973924E-4</c:v>
                </c:pt>
                <c:pt idx="2">
                  <c:v>5.1079238482756829E-4</c:v>
                </c:pt>
                <c:pt idx="3">
                  <c:v>8.8756954713848193E-4</c:v>
                </c:pt>
                <c:pt idx="4">
                  <c:v>1.3406362017237237E-3</c:v>
                </c:pt>
                <c:pt idx="5">
                  <c:v>1.8885260661081174E-3</c:v>
                </c:pt>
                <c:pt idx="6">
                  <c:v>2.553360249395265E-3</c:v>
                </c:pt>
                <c:pt idx="7">
                  <c:v>3.3634911163373787E-3</c:v>
                </c:pt>
                <c:pt idx="8">
                  <c:v>4.3563379497143211E-3</c:v>
                </c:pt>
                <c:pt idx="9">
                  <c:v>5.5824195642304193E-3</c:v>
                </c:pt>
                <c:pt idx="10">
                  <c:v>7.1115607723117834E-3</c:v>
                </c:pt>
                <c:pt idx="11">
                  <c:v>9.0428957741355148E-3</c:v>
                </c:pt>
                <c:pt idx="12">
                  <c:v>1.1521733155112637E-2</c:v>
                </c:pt>
                <c:pt idx="13">
                  <c:v>1.4769505074917359E-2</c:v>
                </c:pt>
                <c:pt idx="14">
                  <c:v>1.9140436230620117E-2</c:v>
                </c:pt>
                <c:pt idx="15">
                  <c:v>2.5237741559365132E-2</c:v>
                </c:pt>
                <c:pt idx="16">
                  <c:v>3.4178472756059661E-2</c:v>
                </c:pt>
                <c:pt idx="17">
                  <c:v>4.8292835408472706E-2</c:v>
                </c:pt>
                <c:pt idx="18">
                  <c:v>7.3431996708894248E-2</c:v>
                </c:pt>
                <c:pt idx="19">
                  <c:v>0.13033473999939427</c:v>
                </c:pt>
                <c:pt idx="20">
                  <c:v>0.60626903791524156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158352"/>
        <c:axId val="307159920"/>
      </c:barChart>
      <c:catAx>
        <c:axId val="30715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Percentage of Households</a:t>
                </a:r>
                <a:r>
                  <a:rPr lang="en-US" sz="1100" b="1" baseline="0"/>
                  <a:t> that have assetsbelow this point</a:t>
                </a:r>
                <a:endParaRPr lang="en-US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9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7159920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835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Pctg of Income Above / Pctg</a:t>
            </a:r>
            <a:r>
              <a:rPr lang="en-US" sz="1600" b="1" baseline="0">
                <a:solidFill>
                  <a:schemeClr val="tx1"/>
                </a:solidFill>
              </a:rPr>
              <a:t> of </a:t>
            </a:r>
            <a:r>
              <a:rPr lang="en-US" sz="1600" b="1">
                <a:solidFill>
                  <a:schemeClr val="tx1"/>
                </a:solidFill>
              </a:rPr>
              <a:t>HH</a:t>
            </a:r>
            <a:r>
              <a:rPr lang="en-US" sz="1600" b="1" baseline="0">
                <a:solidFill>
                  <a:schemeClr val="tx1"/>
                </a:solidFill>
              </a:rPr>
              <a:t> Above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'LN2'!$E$308</c:f>
              <c:strCache>
                <c:ptCount val="1"/>
                <c:pt idx="0">
                  <c:v>HhB/InB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'LN2'!$B$309:$B$322</c:f>
              <c:numCache>
                <c:formatCode>0.00</c:formatCode>
                <c:ptCount val="14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1.1000000000000001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20</c:v>
                </c:pt>
                <c:pt idx="12">
                  <c:v>40</c:v>
                </c:pt>
                <c:pt idx="13">
                  <c:v>100</c:v>
                </c:pt>
              </c:numCache>
            </c:numRef>
          </c:xVal>
          <c:yVal>
            <c:numRef>
              <c:f>'LN2'!$E$309:$E$322</c:f>
              <c:numCache>
                <c:formatCode>0.00</c:formatCode>
                <c:ptCount val="14"/>
                <c:pt idx="0">
                  <c:v>1.053388090349076</c:v>
                </c:pt>
                <c:pt idx="1">
                  <c:v>1.173913043478261</c:v>
                </c:pt>
                <c:pt idx="2">
                  <c:v>1.2522522522522526</c:v>
                </c:pt>
                <c:pt idx="3">
                  <c:v>1.4154589371980675</c:v>
                </c:pt>
                <c:pt idx="4">
                  <c:v>1.6246719160104985</c:v>
                </c:pt>
                <c:pt idx="5">
                  <c:v>2.184713375796179</c:v>
                </c:pt>
                <c:pt idx="6">
                  <c:v>2.5971223021582732</c:v>
                </c:pt>
                <c:pt idx="7">
                  <c:v>3.3668122270742362</c:v>
                </c:pt>
                <c:pt idx="8">
                  <c:v>3.9261083743842375</c:v>
                </c:pt>
                <c:pt idx="9">
                  <c:v>4.8139534883720918</c:v>
                </c:pt>
                <c:pt idx="10">
                  <c:v>6.0422535211267601</c:v>
                </c:pt>
                <c:pt idx="11">
                  <c:v>8.0909090909090917</c:v>
                </c:pt>
                <c:pt idx="12">
                  <c:v>10.494252873563223</c:v>
                </c:pt>
                <c:pt idx="13">
                  <c:v>14.384615384615397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95432"/>
        <c:axId val="306197392"/>
      </c:scatterChart>
      <c:valAx>
        <c:axId val="306195432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97392"/>
        <c:crosses val="autoZero"/>
        <c:crossBetween val="midCat"/>
      </c:valAx>
      <c:valAx>
        <c:axId val="306197392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95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Gini Coefficient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'LN2'!$F$308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'LN2'!$B$309:$B$322</c:f>
              <c:numCache>
                <c:formatCode>0.00</c:formatCode>
                <c:ptCount val="14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1.1000000000000001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20</c:v>
                </c:pt>
                <c:pt idx="12">
                  <c:v>40</c:v>
                </c:pt>
                <c:pt idx="13">
                  <c:v>100</c:v>
                </c:pt>
              </c:numCache>
            </c:numRef>
          </c:xVal>
          <c:yVal>
            <c:numRef>
              <c:f>'LN2'!$F$309:$F$322</c:f>
              <c:numCache>
                <c:formatCode>General</c:formatCode>
                <c:ptCount val="14"/>
                <c:pt idx="0" formatCode="0.000">
                  <c:v>3.5999999999999997E-2</c:v>
                </c:pt>
                <c:pt idx="1">
                  <c:v>0.112</c:v>
                </c:pt>
                <c:pt idx="2">
                  <c:v>0.157</c:v>
                </c:pt>
                <c:pt idx="3">
                  <c:v>0.24199999999999999</c:v>
                </c:pt>
                <c:pt idx="4" formatCode="0.000">
                  <c:v>0.33100000000000002</c:v>
                </c:pt>
                <c:pt idx="5" formatCode="0.000">
                  <c:v>0.50700000000000001</c:v>
                </c:pt>
                <c:pt idx="6">
                  <c:v>0.59499999999999997</c:v>
                </c:pt>
                <c:pt idx="7">
                  <c:v>0.70499999999999996</c:v>
                </c:pt>
                <c:pt idx="8">
                  <c:v>0.76100000000000001</c:v>
                </c:pt>
                <c:pt idx="9">
                  <c:v>0.81899999999999995</c:v>
                </c:pt>
                <c:pt idx="10">
                  <c:v>0.871</c:v>
                </c:pt>
                <c:pt idx="11">
                  <c:v>0.91700000000000004</c:v>
                </c:pt>
                <c:pt idx="12">
                  <c:v>0.94499999999999995</c:v>
                </c:pt>
                <c:pt idx="13">
                  <c:v>0.96799999999999997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'LN2'!$C$308</c:f>
              <c:strCache>
                <c:ptCount val="1"/>
                <c:pt idx="0">
                  <c:v>%HHBelow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'LN2'!$B$309:$B$322</c:f>
              <c:numCache>
                <c:formatCode>0.00</c:formatCode>
                <c:ptCount val="14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1.1000000000000001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20</c:v>
                </c:pt>
                <c:pt idx="12">
                  <c:v>40</c:v>
                </c:pt>
                <c:pt idx="13">
                  <c:v>100</c:v>
                </c:pt>
              </c:numCache>
            </c:numRef>
          </c:xVal>
          <c:yVal>
            <c:numRef>
              <c:f>'LN2'!$C$309:$C$322</c:f>
              <c:numCache>
                <c:formatCode>0.0%</c:formatCode>
                <c:ptCount val="14"/>
                <c:pt idx="0">
                  <c:v>0.51300000000000001</c:v>
                </c:pt>
                <c:pt idx="1">
                  <c:v>0.54</c:v>
                </c:pt>
                <c:pt idx="2">
                  <c:v>0.55600000000000005</c:v>
                </c:pt>
                <c:pt idx="3">
                  <c:v>0.58599999999999997</c:v>
                </c:pt>
                <c:pt idx="4">
                  <c:v>0.61899999999999999</c:v>
                </c:pt>
                <c:pt idx="5">
                  <c:v>0.68600000000000005</c:v>
                </c:pt>
                <c:pt idx="6">
                  <c:v>0.72199999999999998</c:v>
                </c:pt>
                <c:pt idx="7">
                  <c:v>0.77100000000000002</c:v>
                </c:pt>
                <c:pt idx="8">
                  <c:v>0.79700000000000004</c:v>
                </c:pt>
                <c:pt idx="9">
                  <c:v>0.82799999999999996</c:v>
                </c:pt>
                <c:pt idx="10">
                  <c:v>0.85799999999999998</c:v>
                </c:pt>
                <c:pt idx="11">
                  <c:v>0.89</c:v>
                </c:pt>
                <c:pt idx="12">
                  <c:v>0.91300000000000003</c:v>
                </c:pt>
                <c:pt idx="13">
                  <c:v>0.93500000000000005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'LN2'!$H$308</c:f>
              <c:strCache>
                <c:ptCount val="1"/>
                <c:pt idx="0">
                  <c:v>XS/TotAbv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'LN2'!$B$309:$B$322</c:f>
              <c:numCache>
                <c:formatCode>0.00</c:formatCode>
                <c:ptCount val="14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1.1000000000000001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20</c:v>
                </c:pt>
                <c:pt idx="12">
                  <c:v>40</c:v>
                </c:pt>
                <c:pt idx="13">
                  <c:v>100</c:v>
                </c:pt>
              </c:numCache>
            </c:numRef>
          </c:xVal>
          <c:yVal>
            <c:numRef>
              <c:f>'LN2'!$H$309:$H$322</c:f>
              <c:numCache>
                <c:formatCode>0.000</c:formatCode>
                <c:ptCount val="14"/>
                <c:pt idx="0">
                  <c:v>2.5000000000000001E-2</c:v>
                </c:pt>
                <c:pt idx="1">
                  <c:v>7.9000000000000001E-2</c:v>
                </c:pt>
                <c:pt idx="2">
                  <c:v>0.111</c:v>
                </c:pt>
                <c:pt idx="3">
                  <c:v>0.17299999999999999</c:v>
                </c:pt>
                <c:pt idx="4">
                  <c:v>0.23699999999999999</c:v>
                </c:pt>
                <c:pt idx="5">
                  <c:v>0.372</c:v>
                </c:pt>
                <c:pt idx="6">
                  <c:v>0.44400000000000001</c:v>
                </c:pt>
                <c:pt idx="7">
                  <c:v>0.54100000000000004</c:v>
                </c:pt>
                <c:pt idx="8">
                  <c:v>0.59499999999999997</c:v>
                </c:pt>
                <c:pt idx="9">
                  <c:v>0.65600000000000003</c:v>
                </c:pt>
                <c:pt idx="10">
                  <c:v>0.71699999999999997</c:v>
                </c:pt>
                <c:pt idx="11">
                  <c:v>0.77900000000000003</c:v>
                </c:pt>
                <c:pt idx="12">
                  <c:v>0.82599999999999996</c:v>
                </c:pt>
                <c:pt idx="13">
                  <c:v>0.871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95040"/>
        <c:axId val="306197000"/>
      </c:scatterChart>
      <c:valAx>
        <c:axId val="306195040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Mean-Median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97000"/>
        <c:crosses val="autoZero"/>
        <c:crossBetween val="midCat"/>
      </c:valAx>
      <c:valAx>
        <c:axId val="306197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9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Distribution of Households &amp;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'LN2'!$B$277</c:f>
              <c:strCache>
                <c:ptCount val="1"/>
                <c:pt idx="0">
                  <c:v>HH% PDF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'LN2'!$A$278:$A$306</c:f>
              <c:numCache>
                <c:formatCode>General</c:formatCode>
                <c:ptCount val="29"/>
                <c:pt idx="0">
                  <c:v>0.01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</c:numCache>
            </c:numRef>
          </c:xVal>
          <c:yVal>
            <c:numRef>
              <c:f>'LN2'!$B$278:$B$306</c:f>
              <c:numCache>
                <c:formatCode>0.00</c:formatCode>
                <c:ptCount val="29"/>
                <c:pt idx="0">
                  <c:v>20984.852963319681</c:v>
                </c:pt>
                <c:pt idx="1">
                  <c:v>77.625119777861684</c:v>
                </c:pt>
                <c:pt idx="2">
                  <c:v>56.185588858040092</c:v>
                </c:pt>
                <c:pt idx="3">
                  <c:v>43.76412637490116</c:v>
                </c:pt>
                <c:pt idx="4">
                  <c:v>35.671181169499924</c:v>
                </c:pt>
                <c:pt idx="5">
                  <c:v>29.969874768365298</c:v>
                </c:pt>
                <c:pt idx="6">
                  <c:v>25.734091631483079</c:v>
                </c:pt>
                <c:pt idx="7">
                  <c:v>22.463881975560366</c:v>
                </c:pt>
                <c:pt idx="8">
                  <c:v>19.864605443239707</c:v>
                </c:pt>
                <c:pt idx="9">
                  <c:v>17.750875988452727</c:v>
                </c:pt>
                <c:pt idx="10">
                  <c:v>16.000000000000046</c:v>
                </c:pt>
                <c:pt idx="11">
                  <c:v>14.527440405821929</c:v>
                </c:pt>
                <c:pt idx="12">
                  <c:v>13.273006967718525</c:v>
                </c:pt>
                <c:pt idx="13">
                  <c:v>12.192658578500806</c:v>
                </c:pt>
                <c:pt idx="14">
                  <c:v>11.253418375513684</c:v>
                </c:pt>
                <c:pt idx="15">
                  <c:v>10.43010116151461</c:v>
                </c:pt>
                <c:pt idx="16">
                  <c:v>9.7031399722327123</c:v>
                </c:pt>
                <c:pt idx="17">
                  <c:v>9.0571029682054309</c:v>
                </c:pt>
                <c:pt idx="18">
                  <c:v>8.4796571951141555</c:v>
                </c:pt>
                <c:pt idx="19">
                  <c:v>7.9608293620702844</c:v>
                </c:pt>
                <c:pt idx="20">
                  <c:v>7.4924686920913235</c:v>
                </c:pt>
                <c:pt idx="21">
                  <c:v>7.0678501267837213</c:v>
                </c:pt>
                <c:pt idx="22">
                  <c:v>6.6813768411908683</c:v>
                </c:pt>
                <c:pt idx="23">
                  <c:v>6.3283542097793122</c:v>
                </c:pt>
                <c:pt idx="24">
                  <c:v>6.0048159621736987</c:v>
                </c:pt>
                <c:pt idx="25">
                  <c:v>5.7073889871199688</c:v>
                </c:pt>
                <c:pt idx="26">
                  <c:v>5.4331871184031417</c:v>
                </c:pt>
                <c:pt idx="27">
                  <c:v>5.1797269059131992</c:v>
                </c:pt>
                <c:pt idx="28">
                  <c:v>4.9448602421020906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'LN2'!$C$277</c:f>
              <c:strCache>
                <c:ptCount val="1"/>
                <c:pt idx="0">
                  <c:v>INC% PDF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'LN2'!$A$278:$A$306</c:f>
              <c:numCache>
                <c:formatCode>General</c:formatCode>
                <c:ptCount val="29"/>
                <c:pt idx="0">
                  <c:v>0.01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</c:numCache>
            </c:numRef>
          </c:xVal>
          <c:yVal>
            <c:numRef>
              <c:f>'LN2'!$C$278:$C$306</c:f>
              <c:numCache>
                <c:formatCode>0.00</c:formatCode>
                <c:ptCount val="29"/>
                <c:pt idx="0">
                  <c:v>1.6394416377593357E-3</c:v>
                </c:pt>
                <c:pt idx="1">
                  <c:v>48.515699861163647</c:v>
                </c:pt>
                <c:pt idx="2">
                  <c:v>70.231986072550214</c:v>
                </c:pt>
                <c:pt idx="3">
                  <c:v>82.057736952939464</c:v>
                </c:pt>
                <c:pt idx="4">
                  <c:v>89.177952923749913</c:v>
                </c:pt>
                <c:pt idx="5">
                  <c:v>93.655858651141585</c:v>
                </c:pt>
                <c:pt idx="6">
                  <c:v>96.502843618061647</c:v>
                </c:pt>
                <c:pt idx="7">
                  <c:v>98.279483643076759</c:v>
                </c:pt>
                <c:pt idx="8">
                  <c:v>99.323027216198653</c:v>
                </c:pt>
                <c:pt idx="9">
                  <c:v>99.848677435046753</c:v>
                </c:pt>
                <c:pt idx="10">
                  <c:v>99.999999999999986</c:v>
                </c:pt>
                <c:pt idx="11">
                  <c:v>99.87615279002587</c:v>
                </c:pt>
                <c:pt idx="12">
                  <c:v>99.547552257889009</c:v>
                </c:pt>
                <c:pt idx="13">
                  <c:v>99.065350950319115</c:v>
                </c:pt>
                <c:pt idx="14">
                  <c:v>98.467410785744846</c:v>
                </c:pt>
                <c:pt idx="15">
                  <c:v>97.782198389199621</c:v>
                </c:pt>
                <c:pt idx="16">
                  <c:v>97.031399722327279</c:v>
                </c:pt>
                <c:pt idx="17">
                  <c:v>96.231719037182714</c:v>
                </c:pt>
                <c:pt idx="18">
                  <c:v>95.396143445034397</c:v>
                </c:pt>
                <c:pt idx="19">
                  <c:v>94.534848674584723</c:v>
                </c:pt>
                <c:pt idx="20">
                  <c:v>93.655858651141557</c:v>
                </c:pt>
                <c:pt idx="21">
                  <c:v>92.76553291403637</c:v>
                </c:pt>
                <c:pt idx="22">
                  <c:v>91.868931566374528</c:v>
                </c:pt>
                <c:pt idx="23">
                  <c:v>90.970091765577706</c:v>
                </c:pt>
                <c:pt idx="24">
                  <c:v>90.072239432605528</c:v>
                </c:pt>
                <c:pt idx="25">
                  <c:v>89.177952923749942</c:v>
                </c:pt>
                <c:pt idx="26">
                  <c:v>88.289290674051117</c:v>
                </c:pt>
                <c:pt idx="27">
                  <c:v>87.407891537285323</c:v>
                </c:pt>
                <c:pt idx="28">
                  <c:v>86.535054236786692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20448"/>
        <c:axId val="113319272"/>
      </c:scatterChart>
      <c:valAx>
        <c:axId val="11332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Assets ($1,000)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9272"/>
        <c:crosses val="autoZero"/>
        <c:crossBetween val="midCat"/>
      </c:valAx>
      <c:valAx>
        <c:axId val="1133192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2044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Cumulative percentage of of Assets owned by </a:t>
            </a:r>
            <a:br>
              <a:rPr lang="en-US" b="1">
                <a:solidFill>
                  <a:schemeClr val="tx1"/>
                </a:solidFill>
              </a:rPr>
            </a:br>
            <a:r>
              <a:rPr lang="en-US" b="1">
                <a:solidFill>
                  <a:schemeClr val="tx1"/>
                </a:solidFill>
              </a:rPr>
              <a:t>cumulative percentage of Households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475364630054"/>
          <c:y val="0.15435210008936551"/>
          <c:w val="0.83449018239808637"/>
          <c:h val="0.678969552398443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'LN2'!$C$160</c:f>
              <c:strCache>
                <c:ptCount val="1"/>
                <c:pt idx="0">
                  <c:v>of Income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'LN2'!$A$161:$A$181</c:f>
              <c:numCache>
                <c:formatCode>0%</c:formatCode>
                <c:ptCount val="21"/>
                <c:pt idx="0" formatCode="General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0.99509999999999998</c:v>
                </c:pt>
              </c:numCache>
            </c:numRef>
          </c:xVal>
          <c:yVal>
            <c:numRef>
              <c:f>'LN2'!$C$161:$C$181</c:f>
              <c:numCache>
                <c:formatCode>0.0%</c:formatCode>
                <c:ptCount val="21"/>
                <c:pt idx="0" formatCode="0.00%">
                  <c:v>0</c:v>
                </c:pt>
                <c:pt idx="1">
                  <c:v>1.8591156599973924E-4</c:v>
                </c:pt>
                <c:pt idx="2">
                  <c:v>6.9670395082730753E-4</c:v>
                </c:pt>
                <c:pt idx="3">
                  <c:v>1.5842734979657895E-3</c:v>
                </c:pt>
                <c:pt idx="4">
                  <c:v>2.9249096996895132E-3</c:v>
                </c:pt>
                <c:pt idx="5">
                  <c:v>4.8134357657976306E-3</c:v>
                </c:pt>
                <c:pt idx="6">
                  <c:v>7.3667960151928957E-3</c:v>
                </c:pt>
                <c:pt idx="7">
                  <c:v>1.0730287131530274E-2</c:v>
                </c:pt>
                <c:pt idx="8">
                  <c:v>1.5086625081244595E-2</c:v>
                </c:pt>
                <c:pt idx="9">
                  <c:v>2.0669044645475015E-2</c:v>
                </c:pt>
                <c:pt idx="10">
                  <c:v>2.7780605417786798E-2</c:v>
                </c:pt>
                <c:pt idx="11">
                  <c:v>3.6823501191922313E-2</c:v>
                </c:pt>
                <c:pt idx="12">
                  <c:v>4.834523434703495E-2</c:v>
                </c:pt>
                <c:pt idx="13">
                  <c:v>6.3114739421952309E-2</c:v>
                </c:pt>
                <c:pt idx="14">
                  <c:v>8.2255175652572426E-2</c:v>
                </c:pt>
                <c:pt idx="15">
                  <c:v>0.10749291721193756</c:v>
                </c:pt>
                <c:pt idx="16">
                  <c:v>0.14167138996799722</c:v>
                </c:pt>
                <c:pt idx="17">
                  <c:v>0.18996422537646993</c:v>
                </c:pt>
                <c:pt idx="18">
                  <c:v>0.26339622208536417</c:v>
                </c:pt>
                <c:pt idx="19">
                  <c:v>0.39373096208475844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13816"/>
        <c:axId val="113313424"/>
      </c:scatterChart>
      <c:valAx>
        <c:axId val="1133138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 Percentage of Households by Income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3424"/>
        <c:crosses val="autoZero"/>
        <c:crossBetween val="midCat"/>
      </c:valAx>
      <c:valAx>
        <c:axId val="113313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Percentage of Total Income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38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Cumulative percentage of of Assets earned by </a:t>
            </a:r>
            <a:br>
              <a:rPr lang="en-US" b="1">
                <a:solidFill>
                  <a:schemeClr val="tx1"/>
                </a:solidFill>
              </a:rPr>
            </a:br>
            <a:r>
              <a:rPr lang="en-US" b="1">
                <a:solidFill>
                  <a:schemeClr val="tx1"/>
                </a:solidFill>
              </a:rPr>
              <a:t>cumulative percentage of Households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475364630054"/>
          <c:y val="0.15435210008936551"/>
          <c:w val="0.83449018239808637"/>
          <c:h val="0.678969552398443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'LN2'!$C$160</c:f>
              <c:strCache>
                <c:ptCount val="1"/>
                <c:pt idx="0">
                  <c:v>of Income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'LN2'!$A$210:$A$223</c:f>
              <c:numCache>
                <c:formatCode>0%</c:formatCode>
                <c:ptCount val="14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0.02</c:v>
                </c:pt>
                <c:pt idx="11">
                  <c:v>0.01</c:v>
                </c:pt>
                <c:pt idx="12" formatCode="0.0%">
                  <c:v>5.0000000000000001E-3</c:v>
                </c:pt>
                <c:pt idx="13" formatCode="0.0%">
                  <c:v>2E-3</c:v>
                </c:pt>
              </c:numCache>
            </c:numRef>
          </c:xVal>
          <c:yVal>
            <c:numRef>
              <c:f>'LN2'!$C$210:$C$223</c:f>
              <c:numCache>
                <c:formatCode>0.0%</c:formatCode>
                <c:ptCount val="14"/>
                <c:pt idx="0">
                  <c:v>0.97221939458221318</c:v>
                </c:pt>
                <c:pt idx="1">
                  <c:v>0.96317649880807765</c:v>
                </c:pt>
                <c:pt idx="2">
                  <c:v>0.95165476565296503</c:v>
                </c:pt>
                <c:pt idx="3">
                  <c:v>0.93688526057804766</c:v>
                </c:pt>
                <c:pt idx="4">
                  <c:v>0.91774482434742755</c:v>
                </c:pt>
                <c:pt idx="5">
                  <c:v>0.89250708278806246</c:v>
                </c:pt>
                <c:pt idx="6">
                  <c:v>0.85832861003200278</c:v>
                </c:pt>
                <c:pt idx="7">
                  <c:v>0.81003577462353005</c:v>
                </c:pt>
                <c:pt idx="8">
                  <c:v>0.73660377791463583</c:v>
                </c:pt>
                <c:pt idx="9">
                  <c:v>0.60626903791524156</c:v>
                </c:pt>
                <c:pt idx="10">
                  <c:v>0.44461152842937213</c:v>
                </c:pt>
                <c:pt idx="11">
                  <c:v>0.34021136311956401</c:v>
                </c:pt>
                <c:pt idx="12" formatCode="0.00%">
                  <c:v>0.25418824194361067</c:v>
                </c:pt>
                <c:pt idx="13" formatCode="0.00%">
                  <c:v>0.16759812327805623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76888"/>
        <c:axId val="387375320"/>
      </c:scatterChart>
      <c:valAx>
        <c:axId val="387376888"/>
        <c:scaling>
          <c:orientation val="minMax"/>
          <c:max val="0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 Percentage of Households by Income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75320"/>
        <c:crosses val="autoZero"/>
        <c:crossBetween val="midCat"/>
      </c:valAx>
      <c:valAx>
        <c:axId val="387375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Cumulative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Percentage of Total Income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768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357</xdr:row>
      <xdr:rowOff>143829</xdr:rowOff>
    </xdr:from>
    <xdr:to>
      <xdr:col>9</xdr:col>
      <xdr:colOff>219075</xdr:colOff>
      <xdr:row>379</xdr:row>
      <xdr:rowOff>153353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49678</xdr:rowOff>
    </xdr:from>
    <xdr:to>
      <xdr:col>9</xdr:col>
      <xdr:colOff>209550</xdr:colOff>
      <xdr:row>50</xdr:row>
      <xdr:rowOff>101929</xdr:rowOff>
    </xdr:to>
    <xdr:graphicFrame macro="">
      <xdr:nvGraphicFramePr>
        <xdr:cNvPr id="8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234947</xdr:colOff>
      <xdr:row>97</xdr:row>
      <xdr:rowOff>24763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57148</xdr:rowOff>
    </xdr:from>
    <xdr:to>
      <xdr:col>9</xdr:col>
      <xdr:colOff>238125</xdr:colOff>
      <xdr:row>74</xdr:row>
      <xdr:rowOff>84640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142874</xdr:colOff>
      <xdr:row>323</xdr:row>
      <xdr:rowOff>0</xdr:rowOff>
    </xdr:from>
    <xdr:to>
      <xdr:col>8</xdr:col>
      <xdr:colOff>109536</xdr:colOff>
      <xdr:row>339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180974</xdr:colOff>
      <xdr:row>340</xdr:row>
      <xdr:rowOff>28575</xdr:rowOff>
    </xdr:from>
    <xdr:to>
      <xdr:col>8</xdr:col>
      <xdr:colOff>123824</xdr:colOff>
      <xdr:row>356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</xdr:row>
      <xdr:rowOff>9524</xdr:rowOff>
    </xdr:from>
    <xdr:to>
      <xdr:col>9</xdr:col>
      <xdr:colOff>266699</xdr:colOff>
      <xdr:row>26</xdr:row>
      <xdr:rowOff>161924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101</xdr:row>
      <xdr:rowOff>152399</xdr:rowOff>
    </xdr:from>
    <xdr:to>
      <xdr:col>10</xdr:col>
      <xdr:colOff>9525</xdr:colOff>
      <xdr:row>123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124</xdr:row>
      <xdr:rowOff>152400</xdr:rowOff>
    </xdr:from>
    <xdr:to>
      <xdr:col>10</xdr:col>
      <xdr:colOff>9525</xdr:colOff>
      <xdr:row>146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401</xdr:row>
      <xdr:rowOff>0</xdr:rowOff>
    </xdr:from>
    <xdr:to>
      <xdr:col>9</xdr:col>
      <xdr:colOff>241299</xdr:colOff>
      <xdr:row>423</xdr:row>
      <xdr:rowOff>28575</xdr:rowOff>
    </xdr:to>
    <xdr:graphicFrame macro="">
      <xdr:nvGraphicFramePr>
        <xdr:cNvPr id="12" name="Chart 1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0.93566</cdr:y>
    </cdr:from>
    <cdr:to>
      <cdr:x>0.34279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24226"/>
          <a:ext cx="2063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0.75513</cdr:x>
      <cdr:y>0.93395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45711" y="3318156"/>
          <a:ext cx="1474089" cy="234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solidFill>
                <a:schemeClr val="tx1"/>
              </a:solidFill>
            </a:rPr>
            <a:t>Mean 80K; Median</a:t>
          </a:r>
          <a:r>
            <a:rPr lang="en-US" sz="1000" b="1" baseline="0">
              <a:solidFill>
                <a:schemeClr val="tx1"/>
              </a:solidFill>
            </a:rPr>
            <a:t> 50K</a:t>
          </a:r>
          <a:endParaRPr lang="en-US" sz="10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0.404</cdr:x>
      <cdr:y>0.63628</cdr:y>
    </cdr:from>
    <cdr:to>
      <cdr:x>0.87975</cdr:x>
      <cdr:y>0.77212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32024" y="2260598"/>
          <a:ext cx="2863876" cy="482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Cumulative from the Top Down</a:t>
          </a: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Top 17% of HH have 83%</a:t>
          </a:r>
          <a:r>
            <a:rPr lang="en-US" sz="1100" b="1" baseline="0">
              <a:solidFill>
                <a:schemeClr val="tx1"/>
              </a:solidFill>
            </a:rPr>
            <a:t> of total income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0.34479</cdr:x>
      <cdr:y>0.99653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14600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0.65521</cdr:x>
      <cdr:y>0.92014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5613" y="2524125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Median = $50,0000</a:t>
          </a:r>
        </a:p>
      </cdr:txBody>
    </cdr:sp>
  </cdr:relSizeAnchor>
  <cdr:relSizeAnchor xmlns:cdr="http://schemas.openxmlformats.org/drawingml/2006/chartDrawing">
    <cdr:from>
      <cdr:x>0.24035</cdr:x>
      <cdr:y>0.37341</cdr:y>
    </cdr:from>
    <cdr:to>
      <cdr:x>0.48341</cdr:x>
      <cdr:y>0.4336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38488" y="1340900"/>
          <a:ext cx="1454684" cy="216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Gini Coefficient</a:t>
          </a:r>
        </a:p>
      </cdr:txBody>
    </cdr:sp>
  </cdr:relSizeAnchor>
  <cdr:relSizeAnchor xmlns:cdr="http://schemas.openxmlformats.org/drawingml/2006/chartDrawing">
    <cdr:from>
      <cdr:x>0.57569</cdr:x>
      <cdr:y>0.4456</cdr:y>
    </cdr:from>
    <cdr:to>
      <cdr:x>0.85146</cdr:x>
      <cdr:y>0.5756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45431" y="1600115"/>
          <a:ext cx="1650443" cy="466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Excess Income</a:t>
          </a:r>
          <a:r>
            <a:rPr lang="en-US" sz="1100" b="1" baseline="0">
              <a:solidFill>
                <a:schemeClr val="tx1"/>
              </a:solidFill>
            </a:rPr>
            <a:t> as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Fraction of Total Income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0.08333</cdr:x>
      <cdr:y>0.20833</cdr:y>
    </cdr:from>
    <cdr:to>
      <cdr:x>0.94792</cdr:x>
      <cdr:y>0.75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381000" y="571500"/>
          <a:ext cx="3952875" cy="1485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0.49549</cdr:x>
      <cdr:y>0.39611</cdr:y>
    </cdr:from>
    <cdr:to>
      <cdr:x>0.73855</cdr:x>
      <cdr:y>0.4563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65450" y="1422400"/>
          <a:ext cx="1454684" cy="216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Model1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0.50494</cdr:x>
      <cdr:y>0.41261</cdr:y>
    </cdr:from>
    <cdr:to>
      <cdr:x>0.77612</cdr:x>
      <cdr:y>0.67048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0665" y="1446686"/>
          <a:ext cx="1584664" cy="904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Equal distribution of Excess</a:t>
          </a:r>
        </a:p>
      </cdr:txBody>
    </cdr:sp>
  </cdr:relSizeAnchor>
  <cdr:relSizeAnchor xmlns:cdr="http://schemas.openxmlformats.org/drawingml/2006/chartDrawing">
    <cdr:from>
      <cdr:x>0</cdr:x>
      <cdr:y>0.94089</cdr:y>
    </cdr:from>
    <cdr:to>
      <cdr:x>0.305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895600"/>
          <a:ext cx="1564410" cy="18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Lognormal</a:t>
          </a:r>
          <a:r>
            <a:rPr lang="en-US" sz="800" baseline="0"/>
            <a:t> Distribution</a:t>
          </a:r>
          <a:endParaRPr lang="en-US" sz="1100"/>
        </a:p>
      </cdr:txBody>
    </cdr:sp>
  </cdr:relSizeAnchor>
  <cdr:relSizeAnchor xmlns:cdr="http://schemas.openxmlformats.org/drawingml/2006/chartDrawing">
    <cdr:from>
      <cdr:x>0.67833</cdr:x>
      <cdr:y>0.94089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79317" y="2895600"/>
          <a:ext cx="1649897" cy="18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Mean 80K; Median</a:t>
          </a:r>
          <a:r>
            <a:rPr lang="en-US" sz="800" baseline="0"/>
            <a:t> 50K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0.78678</cdr:x>
      <cdr:y>0.94792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3899" y="3419475"/>
          <a:ext cx="1228725" cy="187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Mean 80K; Median</a:t>
          </a:r>
          <a:r>
            <a:rPr lang="en-US" sz="800" baseline="0"/>
            <a:t> 50K</a:t>
          </a:r>
          <a:endParaRPr lang="en-US" sz="800"/>
        </a:p>
      </cdr:txBody>
    </cdr:sp>
  </cdr:relSizeAnchor>
  <cdr:relSizeAnchor xmlns:cdr="http://schemas.openxmlformats.org/drawingml/2006/chartDrawing">
    <cdr:from>
      <cdr:x>0</cdr:x>
      <cdr:y>0.95056</cdr:y>
    </cdr:from>
    <cdr:to>
      <cdr:x>0.30348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429000"/>
          <a:ext cx="1748856" cy="17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Lognormal</a:t>
          </a:r>
          <a:r>
            <a:rPr lang="en-US" sz="800" baseline="0"/>
            <a:t> Distribution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0.37618</cdr:x>
      <cdr:y>0.26736</cdr:y>
    </cdr:from>
    <cdr:to>
      <cdr:x>0.84725</cdr:x>
      <cdr:y>0.43056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0313" y="733425"/>
          <a:ext cx="20415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Excess Assets: 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Assets above</a:t>
          </a:r>
          <a:r>
            <a:rPr lang="en-US" sz="1100" b="1" baseline="0">
              <a:solidFill>
                <a:schemeClr val="tx1"/>
              </a:solidFill>
            </a:rPr>
            <a:t> the Mean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0.73128</cdr:x>
      <cdr:y>0.38768</cdr:y>
    </cdr:from>
    <cdr:to>
      <cdr:x>0.91769</cdr:x>
      <cdr:y>0.58109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371975" y="1390650"/>
          <a:ext cx="1114441" cy="69377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0.02774</cdr:x>
      <cdr:y>0.54744</cdr:y>
    </cdr:from>
    <cdr:to>
      <cdr:x>0.49881</cdr:x>
      <cdr:y>0.64003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5829" y="1963728"/>
          <a:ext cx="2816303" cy="332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 baseline="0">
              <a:solidFill>
                <a:schemeClr val="tx1"/>
              </a:solidFill>
            </a:rPr>
            <a:t>Mean Assets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0.6759</cdr:x>
      <cdr:y>0.93458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444317" y="2857500"/>
          <a:ext cx="165156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Mean 80K; Median</a:t>
          </a:r>
          <a:r>
            <a:rPr lang="en-US" sz="800" baseline="0"/>
            <a:t> 50K</a:t>
          </a:r>
          <a:endParaRPr lang="en-US" sz="800"/>
        </a:p>
      </cdr:txBody>
    </cdr:sp>
  </cdr:relSizeAnchor>
  <cdr:relSizeAnchor xmlns:cdr="http://schemas.openxmlformats.org/drawingml/2006/chartDrawing">
    <cdr:from>
      <cdr:x>0</cdr:x>
      <cdr:y>0.94081</cdr:y>
    </cdr:from>
    <cdr:to>
      <cdr:x>0.3073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2876550"/>
          <a:ext cx="1565987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Lognormal</a:t>
          </a:r>
          <a:r>
            <a:rPr lang="en-US" sz="800" baseline="0"/>
            <a:t> Distribution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1.77643E-7</cdr:x>
      <cdr:y>0.94896</cdr:y>
    </cdr:from>
    <cdr:to>
      <cdr:x>0.305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3305176"/>
          <a:ext cx="1716929" cy="177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Lognormal</a:t>
          </a:r>
          <a:r>
            <a:rPr lang="en-US" sz="800" baseline="0"/>
            <a:t> Distribution</a:t>
          </a:r>
          <a:endParaRPr lang="en-US" sz="1100"/>
        </a:p>
      </cdr:txBody>
    </cdr:sp>
  </cdr:relSizeAnchor>
  <cdr:relSizeAnchor xmlns:cdr="http://schemas.openxmlformats.org/drawingml/2006/chartDrawing">
    <cdr:from>
      <cdr:x>0.67833</cdr:x>
      <cdr:y>0.9517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18525" y="3314700"/>
          <a:ext cx="1810750" cy="16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Mean 80K; Median</a:t>
          </a:r>
          <a:r>
            <a:rPr lang="en-US" sz="800" baseline="0"/>
            <a:t> 50K</a:t>
          </a:r>
          <a:endParaRPr lang="en-US" sz="8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0.34479</cdr:x>
      <cdr:y>0.99653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14600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0.65521</cdr:x>
      <cdr:y>0.92014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5613" y="2524125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Median = $50,0000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0.92014</cdr:y>
    </cdr:from>
    <cdr:to>
      <cdr:x>0.34479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24125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0.65521</cdr:x>
      <cdr:y>0.91088</cdr:y>
    </cdr:from>
    <cdr:to>
      <cdr:x>1</cdr:x>
      <cdr:y>0.99074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5613" y="2498725"/>
          <a:ext cx="157638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Median = $50,0000</a:t>
          </a:r>
        </a:p>
      </cdr:txBody>
    </cdr:sp>
  </cdr:relSizeAnchor>
  <cdr:relSizeAnchor xmlns:cdr="http://schemas.openxmlformats.org/drawingml/2006/chartDrawing">
    <cdr:from>
      <cdr:x>0.52268</cdr:x>
      <cdr:y>0.35018</cdr:y>
    </cdr:from>
    <cdr:to>
      <cdr:x>0.73866</cdr:x>
      <cdr:y>0.44043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05051" y="923924"/>
          <a:ext cx="952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Gini Coef</a:t>
          </a:r>
        </a:p>
      </cdr:txBody>
    </cdr:sp>
  </cdr:relSizeAnchor>
  <cdr:relSizeAnchor xmlns:cdr="http://schemas.openxmlformats.org/drawingml/2006/chartDrawing">
    <cdr:from>
      <cdr:x>0.06767</cdr:x>
      <cdr:y>0.22383</cdr:y>
    </cdr:from>
    <cdr:to>
      <cdr:x>0.70626</cdr:x>
      <cdr:y>0.32852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98449" y="590550"/>
          <a:ext cx="281622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Pctg</a:t>
          </a:r>
          <a:r>
            <a:rPr lang="en-US" sz="1200" b="1" baseline="0">
              <a:solidFill>
                <a:schemeClr val="tx1"/>
              </a:solidFill>
            </a:rPr>
            <a:t> of HH with Income Below Average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0.47516</cdr:x>
      <cdr:y>0.47052</cdr:y>
    </cdr:from>
    <cdr:to>
      <cdr:x>0.96544</cdr:x>
      <cdr:y>0.57401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95501" y="1241425"/>
          <a:ext cx="2162177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Pctg</a:t>
          </a:r>
          <a:r>
            <a:rPr lang="en-US" sz="1200" b="1" baseline="0">
              <a:solidFill>
                <a:schemeClr val="tx1"/>
              </a:solidFill>
            </a:rPr>
            <a:t> of Income that is Excess</a:t>
          </a:r>
          <a:endParaRPr lang="en-US" sz="1200" b="1">
            <a:solidFill>
              <a:schemeClr val="tx1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0.27575</cdr:x>
      <cdr:y>0.51426</cdr:y>
    </cdr:from>
    <cdr:to>
      <cdr:x>0.46434</cdr:x>
      <cdr:y>0.66962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1660526"/>
          <a:ext cx="1133476" cy="50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 baseline="0">
              <a:solidFill>
                <a:schemeClr val="tx1"/>
              </a:solidFill>
            </a:rPr>
            <a:t>Households 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tx1"/>
              </a:solidFill>
            </a:rPr>
            <a:t>% of Max PDF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0.47702</cdr:x>
      <cdr:y>0.29597</cdr:y>
    </cdr:from>
    <cdr:to>
      <cdr:x>0.66878</cdr:x>
      <cdr:y>0.44248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7025" y="955675"/>
          <a:ext cx="1152525" cy="473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 baseline="0">
              <a:solidFill>
                <a:schemeClr val="tx1"/>
              </a:solidFill>
            </a:rPr>
            <a:t>Asssets</a:t>
          </a:r>
          <a:br>
            <a:rPr lang="en-US" sz="1200" b="1" baseline="0">
              <a:solidFill>
                <a:schemeClr val="tx1"/>
              </a:solidFill>
            </a:rPr>
          </a:br>
          <a:r>
            <a:rPr lang="en-US" sz="1200" b="1" baseline="0">
              <a:solidFill>
                <a:schemeClr val="tx1"/>
              </a:solidFill>
            </a:rPr>
            <a:t>% of Max PDF</a:t>
          </a:r>
          <a:endParaRPr lang="en-US" sz="1200" b="1">
            <a:solidFill>
              <a:schemeClr val="tx1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0.93566</cdr:y>
    </cdr:from>
    <cdr:to>
      <cdr:x>0.34279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24226"/>
          <a:ext cx="2063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 Normal Distribution</a:t>
          </a:r>
        </a:p>
      </cdr:txBody>
    </cdr:sp>
  </cdr:relSizeAnchor>
  <cdr:relSizeAnchor xmlns:cdr="http://schemas.openxmlformats.org/drawingml/2006/chartDrawing">
    <cdr:from>
      <cdr:x>0.75513</cdr:x>
      <cdr:y>0.93395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45711" y="3318156"/>
          <a:ext cx="1474089" cy="234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solidFill>
                <a:schemeClr val="tx1"/>
              </a:solidFill>
            </a:rPr>
            <a:t>Mean 80K; Median</a:t>
          </a:r>
          <a:r>
            <a:rPr lang="en-US" sz="1000" b="1" baseline="0">
              <a:solidFill>
                <a:schemeClr val="tx1"/>
              </a:solidFill>
            </a:rPr>
            <a:t> 50K</a:t>
          </a:r>
          <a:endParaRPr lang="en-US" sz="10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0.16192</cdr:x>
      <cdr:y>0.44861</cdr:y>
    </cdr:from>
    <cdr:to>
      <cdr:x>0.65032</cdr:x>
      <cdr:y>0.57105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74725" y="1593850"/>
          <a:ext cx="2940050" cy="434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Cumulative from the Bottom Up</a:t>
          </a: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Bottom 83%</a:t>
          </a:r>
          <a:r>
            <a:rPr lang="en-US" sz="1100" b="1" baseline="0">
              <a:solidFill>
                <a:schemeClr val="tx1"/>
              </a:solidFill>
            </a:rPr>
            <a:t> of HH own 17% of total Income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louisfed.org/on-the-economy/wealth-inequality-bigger-problem-us-income-inequa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"/>
  <sheetViews>
    <sheetView tabSelected="1" topLeftCell="A142" zoomScaleNormal="100" workbookViewId="0">
      <selection activeCell="L15" sqref="L15"/>
    </sheetView>
  </sheetViews>
  <sheetFormatPr defaultRowHeight="12.75" x14ac:dyDescent="0.2"/>
  <cols>
    <col min="1" max="9" width="9.5703125" customWidth="1"/>
    <col min="10" max="10" width="4" style="81" customWidth="1"/>
    <col min="11" max="11" width="9.140625" customWidth="1"/>
    <col min="12" max="12" width="6.5703125" customWidth="1"/>
  </cols>
  <sheetData>
    <row r="1" spans="1:12" ht="12.75" customHeight="1" x14ac:dyDescent="0.2">
      <c r="A1" s="4" t="s">
        <v>129</v>
      </c>
      <c r="B1" s="1"/>
      <c r="C1" s="1"/>
      <c r="D1" s="1"/>
      <c r="E1" s="1"/>
      <c r="F1" s="1"/>
      <c r="G1" s="1"/>
      <c r="H1" s="1"/>
      <c r="I1" s="12" t="s">
        <v>120</v>
      </c>
      <c r="J1" s="89">
        <v>1</v>
      </c>
      <c r="K1" s="1"/>
    </row>
    <row r="2" spans="1:12" ht="12.75" customHeight="1" x14ac:dyDescent="0.2">
      <c r="A2" s="11"/>
      <c r="B2" s="127" t="s">
        <v>128</v>
      </c>
      <c r="D2" s="21"/>
      <c r="E2" s="21"/>
      <c r="J2" s="89">
        <v>2</v>
      </c>
      <c r="L2" s="15"/>
    </row>
    <row r="3" spans="1:12" ht="12.75" customHeight="1" thickBot="1" x14ac:dyDescent="0.25">
      <c r="A3" s="71" t="s">
        <v>11</v>
      </c>
      <c r="C3" s="10"/>
      <c r="D3" s="4" t="s">
        <v>12</v>
      </c>
      <c r="J3" s="89">
        <v>3</v>
      </c>
    </row>
    <row r="4" spans="1:12" ht="12.75" customHeight="1" thickBot="1" x14ac:dyDescent="0.25">
      <c r="A4" s="9" t="s">
        <v>7</v>
      </c>
      <c r="B4" s="49">
        <v>80000</v>
      </c>
      <c r="C4" s="10"/>
      <c r="D4" s="9" t="s">
        <v>7</v>
      </c>
      <c r="E4" s="30">
        <f>EXP(G259)</f>
        <v>3124999.9999999986</v>
      </c>
      <c r="G4" s="32">
        <f>2*_xlfn.NORM.S.DIST(C262/SQRT(2),1)-1</f>
        <v>0.82417706006312286</v>
      </c>
      <c r="H4" s="71" t="s">
        <v>47</v>
      </c>
      <c r="J4" s="89">
        <v>4</v>
      </c>
    </row>
    <row r="5" spans="1:12" ht="12.75" customHeight="1" thickBot="1" x14ac:dyDescent="0.3">
      <c r="A5" s="9" t="s">
        <v>8</v>
      </c>
      <c r="B5" s="49">
        <v>500000</v>
      </c>
      <c r="C5" s="5"/>
      <c r="D5" s="9" t="s">
        <v>8</v>
      </c>
      <c r="E5" s="31">
        <f>EXP(G260)</f>
        <v>19531249.999999959</v>
      </c>
      <c r="G5" s="125">
        <f>_xlfn.LOGNORM.DIST($B$5,$C$259,$C$262,1)</f>
        <v>0.83077460325854724</v>
      </c>
      <c r="H5" s="22" t="s">
        <v>118</v>
      </c>
      <c r="J5" s="89">
        <v>5</v>
      </c>
    </row>
    <row r="6" spans="1:12" ht="12.75" customHeight="1" x14ac:dyDescent="0.2">
      <c r="A6" s="9" t="s">
        <v>1</v>
      </c>
      <c r="B6" s="50">
        <f>EXP(C259-C261)</f>
        <v>2047.9999999999984</v>
      </c>
      <c r="D6" s="9" t="s">
        <v>1</v>
      </c>
      <c r="E6" s="51">
        <f>EXP(G259-G261)</f>
        <v>79999.999999999942</v>
      </c>
      <c r="F6" s="10"/>
      <c r="H6" s="4" t="s">
        <v>130</v>
      </c>
      <c r="J6" s="89">
        <v>6</v>
      </c>
    </row>
    <row r="7" spans="1:12" ht="12.75" customHeight="1" x14ac:dyDescent="0.2">
      <c r="A7" s="14" t="s">
        <v>6</v>
      </c>
      <c r="B7" s="36">
        <f>SQRT((EXP($C$261)-1)*EXP(2*$C$259+$C$261))</f>
        <v>3084740.6698132651</v>
      </c>
      <c r="C7" s="5"/>
      <c r="D7" s="14" t="s">
        <v>6</v>
      </c>
      <c r="E7" s="128">
        <f>SQRT((EXP($G$261)-1)*EXP(2*$G$259+$G$261))</f>
        <v>120497682.41458043</v>
      </c>
      <c r="H7" s="5"/>
      <c r="J7" s="89">
        <v>7</v>
      </c>
    </row>
    <row r="8" spans="1:12" ht="12.75" customHeight="1" x14ac:dyDescent="0.2">
      <c r="A8" s="14"/>
      <c r="B8" s="36"/>
      <c r="C8" s="5"/>
      <c r="D8" s="14"/>
      <c r="E8" s="36"/>
      <c r="H8" s="5"/>
      <c r="J8" s="89">
        <v>8</v>
      </c>
    </row>
    <row r="9" spans="1:12" ht="12.75" customHeight="1" x14ac:dyDescent="0.2">
      <c r="A9" s="14"/>
      <c r="B9" s="36"/>
      <c r="C9" s="5"/>
      <c r="D9" s="14"/>
      <c r="E9" s="36"/>
      <c r="H9" s="5"/>
      <c r="J9" s="89">
        <v>9</v>
      </c>
    </row>
    <row r="10" spans="1:12" ht="12.75" customHeight="1" x14ac:dyDescent="0.2">
      <c r="A10" s="14"/>
      <c r="B10" s="36"/>
      <c r="C10" s="5"/>
      <c r="D10" s="14"/>
      <c r="E10" s="36"/>
      <c r="H10" s="5"/>
      <c r="J10" s="89">
        <v>10</v>
      </c>
    </row>
    <row r="11" spans="1:12" ht="12.75" customHeight="1" x14ac:dyDescent="0.2">
      <c r="A11" s="14"/>
      <c r="B11" s="36"/>
      <c r="C11" s="5"/>
      <c r="D11" s="14"/>
      <c r="E11" s="36"/>
      <c r="H11" s="5"/>
      <c r="J11" s="89">
        <v>11</v>
      </c>
    </row>
    <row r="12" spans="1:12" ht="12.75" customHeight="1" x14ac:dyDescent="0.2">
      <c r="A12" s="14"/>
      <c r="B12" s="36"/>
      <c r="C12" s="5"/>
      <c r="D12" s="14"/>
      <c r="E12" s="36"/>
      <c r="H12" s="5"/>
      <c r="J12" s="89">
        <v>12</v>
      </c>
    </row>
    <row r="13" spans="1:12" ht="12.75" customHeight="1" x14ac:dyDescent="0.2">
      <c r="A13" s="14"/>
      <c r="B13" s="36"/>
      <c r="C13" s="5"/>
      <c r="D13" s="14"/>
      <c r="E13" s="36"/>
      <c r="H13" s="5"/>
      <c r="J13" s="89">
        <v>13</v>
      </c>
    </row>
    <row r="14" spans="1:12" ht="12.75" customHeight="1" x14ac:dyDescent="0.2">
      <c r="A14" s="14"/>
      <c r="B14" s="36"/>
      <c r="C14" s="5"/>
      <c r="D14" s="14"/>
      <c r="E14" s="36"/>
      <c r="H14" s="5"/>
      <c r="J14" s="89">
        <v>14</v>
      </c>
    </row>
    <row r="15" spans="1:12" ht="12.75" customHeight="1" x14ac:dyDescent="0.2">
      <c r="A15" s="14"/>
      <c r="B15" s="36"/>
      <c r="C15" s="5"/>
      <c r="D15" s="14"/>
      <c r="E15" s="36"/>
      <c r="H15" s="5"/>
      <c r="J15" s="89">
        <v>15</v>
      </c>
    </row>
    <row r="16" spans="1:12" ht="12.75" customHeight="1" x14ac:dyDescent="0.2">
      <c r="A16" s="14"/>
      <c r="B16" s="36"/>
      <c r="C16" s="5"/>
      <c r="D16" s="14"/>
      <c r="E16" s="36"/>
      <c r="H16" s="5"/>
      <c r="J16" s="89">
        <v>16</v>
      </c>
    </row>
    <row r="17" spans="1:10" ht="12.75" customHeight="1" x14ac:dyDescent="0.2">
      <c r="A17" s="14"/>
      <c r="B17" s="36"/>
      <c r="C17" s="5"/>
      <c r="D17" s="14"/>
      <c r="E17" s="36"/>
      <c r="H17" s="5"/>
      <c r="J17" s="89">
        <v>17</v>
      </c>
    </row>
    <row r="18" spans="1:10" ht="12.75" customHeight="1" x14ac:dyDescent="0.2">
      <c r="A18" s="14"/>
      <c r="B18" s="36"/>
      <c r="C18" s="5"/>
      <c r="D18" s="14"/>
      <c r="E18" s="36"/>
      <c r="H18" s="5"/>
      <c r="J18" s="89">
        <v>18</v>
      </c>
    </row>
    <row r="19" spans="1:10" ht="12.75" customHeight="1" x14ac:dyDescent="0.2">
      <c r="A19" s="14"/>
      <c r="B19" s="36"/>
      <c r="C19" s="5"/>
      <c r="D19" s="14"/>
      <c r="E19" s="36"/>
      <c r="H19" s="5"/>
      <c r="J19" s="89">
        <v>19</v>
      </c>
    </row>
    <row r="20" spans="1:10" ht="12.75" customHeight="1" x14ac:dyDescent="0.2">
      <c r="A20" s="14"/>
      <c r="B20" s="36"/>
      <c r="C20" s="5"/>
      <c r="D20" s="14"/>
      <c r="E20" s="36"/>
      <c r="H20" s="5"/>
      <c r="J20" s="89">
        <v>20</v>
      </c>
    </row>
    <row r="21" spans="1:10" ht="12.75" customHeight="1" x14ac:dyDescent="0.2">
      <c r="A21" s="14"/>
      <c r="B21" s="36"/>
      <c r="C21" s="5"/>
      <c r="D21" s="14"/>
      <c r="E21" s="36"/>
      <c r="H21" s="5"/>
      <c r="J21" s="89">
        <v>21</v>
      </c>
    </row>
    <row r="22" spans="1:10" ht="12.75" customHeight="1" x14ac:dyDescent="0.2">
      <c r="A22" s="14"/>
      <c r="B22" s="36"/>
      <c r="C22" s="5"/>
      <c r="D22" s="14"/>
      <c r="E22" s="36"/>
      <c r="H22" s="5"/>
      <c r="J22" s="89">
        <v>22</v>
      </c>
    </row>
    <row r="23" spans="1:10" ht="12.75" customHeight="1" x14ac:dyDescent="0.2">
      <c r="A23" s="14"/>
      <c r="B23" s="36"/>
      <c r="C23" s="5"/>
      <c r="D23" s="14"/>
      <c r="E23" s="36"/>
      <c r="H23" s="5"/>
      <c r="J23" s="89">
        <v>23</v>
      </c>
    </row>
    <row r="24" spans="1:10" ht="12.75" customHeight="1" x14ac:dyDescent="0.2">
      <c r="A24" s="14"/>
      <c r="B24" s="36"/>
      <c r="C24" s="5"/>
      <c r="D24" s="14"/>
      <c r="E24" s="36"/>
      <c r="H24" s="5"/>
      <c r="J24" s="89">
        <v>24</v>
      </c>
    </row>
    <row r="25" spans="1:10" ht="12.75" customHeight="1" x14ac:dyDescent="0.2">
      <c r="A25" s="14"/>
      <c r="B25" s="36"/>
      <c r="C25" s="5"/>
      <c r="D25" s="14"/>
      <c r="E25" s="36"/>
      <c r="H25" s="5"/>
      <c r="J25" s="89">
        <v>25</v>
      </c>
    </row>
    <row r="26" spans="1:10" ht="12.75" customHeight="1" x14ac:dyDescent="0.2">
      <c r="A26" s="14"/>
      <c r="B26" s="36"/>
      <c r="C26" s="5"/>
      <c r="D26" s="14"/>
      <c r="E26" s="36"/>
      <c r="H26" s="5"/>
      <c r="J26" s="89">
        <v>26</v>
      </c>
    </row>
    <row r="27" spans="1:10" ht="12.75" customHeight="1" x14ac:dyDescent="0.2">
      <c r="A27" s="14"/>
      <c r="B27" s="36"/>
      <c r="C27" s="5"/>
      <c r="D27" s="14"/>
      <c r="E27" s="36"/>
      <c r="H27" s="5"/>
      <c r="J27" s="89">
        <v>27</v>
      </c>
    </row>
    <row r="28" spans="1:10" ht="12.75" customHeight="1" x14ac:dyDescent="0.2">
      <c r="A28" s="14"/>
      <c r="B28" s="36"/>
      <c r="C28" s="5"/>
      <c r="D28" s="14"/>
      <c r="E28" s="36"/>
      <c r="H28" s="5"/>
      <c r="J28" s="89">
        <v>28</v>
      </c>
    </row>
    <row r="29" spans="1:10" ht="12.75" customHeight="1" x14ac:dyDescent="0.2">
      <c r="B29" s="14"/>
      <c r="C29" s="36"/>
      <c r="D29" s="5"/>
      <c r="E29" s="14"/>
      <c r="F29" s="36"/>
      <c r="G29" s="5"/>
      <c r="J29" s="89">
        <v>29</v>
      </c>
    </row>
    <row r="30" spans="1:10" ht="12.75" customHeight="1" x14ac:dyDescent="0.2">
      <c r="B30" s="14"/>
      <c r="C30" s="36"/>
      <c r="D30" s="5"/>
      <c r="E30" s="14"/>
      <c r="F30" s="36"/>
      <c r="G30" s="5"/>
      <c r="J30" s="89">
        <v>30</v>
      </c>
    </row>
    <row r="31" spans="1:10" ht="12.75" customHeight="1" x14ac:dyDescent="0.2">
      <c r="B31" s="14"/>
      <c r="C31" s="36"/>
      <c r="D31" s="5"/>
      <c r="E31" s="14"/>
      <c r="F31" s="36"/>
      <c r="G31" s="5"/>
      <c r="J31" s="89">
        <v>31</v>
      </c>
    </row>
    <row r="32" spans="1:10" ht="12.75" customHeight="1" x14ac:dyDescent="0.2">
      <c r="B32" s="14"/>
      <c r="C32" s="36"/>
      <c r="D32" s="5"/>
      <c r="E32" s="14"/>
      <c r="F32" s="36"/>
      <c r="G32" s="5"/>
      <c r="J32" s="89">
        <v>32</v>
      </c>
    </row>
    <row r="33" spans="2:10" ht="12.75" customHeight="1" x14ac:dyDescent="0.2">
      <c r="B33" s="14"/>
      <c r="C33" s="36"/>
      <c r="D33" s="5"/>
      <c r="E33" s="14"/>
      <c r="F33" s="36"/>
      <c r="G33" s="5"/>
      <c r="J33" s="89">
        <v>33</v>
      </c>
    </row>
    <row r="34" spans="2:10" ht="12.75" customHeight="1" x14ac:dyDescent="0.2">
      <c r="B34" s="14"/>
      <c r="C34" s="36"/>
      <c r="D34" s="5"/>
      <c r="E34" s="14"/>
      <c r="F34" s="36"/>
      <c r="G34" s="5"/>
      <c r="J34" s="89">
        <v>34</v>
      </c>
    </row>
    <row r="35" spans="2:10" ht="12.75" customHeight="1" x14ac:dyDescent="0.2">
      <c r="B35" s="14"/>
      <c r="C35" s="36"/>
      <c r="D35" s="5"/>
      <c r="E35" s="14"/>
      <c r="F35" s="36"/>
      <c r="G35" s="5"/>
      <c r="J35" s="89">
        <v>35</v>
      </c>
    </row>
    <row r="36" spans="2:10" ht="12.75" customHeight="1" x14ac:dyDescent="0.2">
      <c r="B36" s="14"/>
      <c r="C36" s="36"/>
      <c r="D36" s="5"/>
      <c r="E36" s="14"/>
      <c r="F36" s="36"/>
      <c r="G36" s="5"/>
      <c r="J36" s="89">
        <v>36</v>
      </c>
    </row>
    <row r="37" spans="2:10" ht="12.75" customHeight="1" x14ac:dyDescent="0.2">
      <c r="B37" s="14"/>
      <c r="C37" s="36"/>
      <c r="D37" s="5"/>
      <c r="E37" s="14"/>
      <c r="F37" s="36"/>
      <c r="G37" s="5"/>
      <c r="J37" s="89">
        <v>37</v>
      </c>
    </row>
    <row r="38" spans="2:10" ht="12.75" customHeight="1" x14ac:dyDescent="0.2">
      <c r="B38" s="14"/>
      <c r="C38" s="36"/>
      <c r="D38" s="5"/>
      <c r="E38" s="14"/>
      <c r="F38" s="36"/>
      <c r="G38" s="5"/>
      <c r="J38" s="89">
        <v>38</v>
      </c>
    </row>
    <row r="39" spans="2:10" ht="12.75" customHeight="1" x14ac:dyDescent="0.2">
      <c r="B39" s="14"/>
      <c r="C39" s="36"/>
      <c r="D39" s="5"/>
      <c r="E39" s="14"/>
      <c r="F39" s="36"/>
      <c r="G39" s="5"/>
      <c r="J39" s="89">
        <v>39</v>
      </c>
    </row>
    <row r="40" spans="2:10" ht="12.75" customHeight="1" x14ac:dyDescent="0.2">
      <c r="B40" s="14"/>
      <c r="C40" s="36"/>
      <c r="D40" s="5"/>
      <c r="E40" s="14"/>
      <c r="F40" s="36"/>
      <c r="G40" s="5"/>
      <c r="J40" s="89">
        <v>40</v>
      </c>
    </row>
    <row r="41" spans="2:10" ht="12.75" customHeight="1" x14ac:dyDescent="0.2">
      <c r="B41" s="14"/>
      <c r="C41" s="36"/>
      <c r="D41" s="5"/>
      <c r="E41" s="14"/>
      <c r="F41" s="36"/>
      <c r="G41" s="5"/>
      <c r="J41" s="89">
        <v>41</v>
      </c>
    </row>
    <row r="42" spans="2:10" ht="12.75" customHeight="1" x14ac:dyDescent="0.2">
      <c r="B42" s="14"/>
      <c r="C42" s="36"/>
      <c r="D42" s="5"/>
      <c r="E42" s="14"/>
      <c r="F42" s="36"/>
      <c r="G42" s="5"/>
      <c r="J42" s="89">
        <v>42</v>
      </c>
    </row>
    <row r="43" spans="2:10" ht="12.75" customHeight="1" x14ac:dyDescent="0.2">
      <c r="B43" s="14"/>
      <c r="C43" s="36"/>
      <c r="D43" s="5"/>
      <c r="E43" s="14"/>
      <c r="F43" s="36"/>
      <c r="G43" s="5"/>
      <c r="J43" s="89">
        <v>43</v>
      </c>
    </row>
    <row r="44" spans="2:10" ht="12.75" customHeight="1" x14ac:dyDescent="0.2">
      <c r="B44" s="14"/>
      <c r="C44" s="36"/>
      <c r="D44" s="5"/>
      <c r="E44" s="14"/>
      <c r="F44" s="36"/>
      <c r="G44" s="5"/>
      <c r="J44" s="89">
        <v>44</v>
      </c>
    </row>
    <row r="45" spans="2:10" ht="12.75" customHeight="1" x14ac:dyDescent="0.2">
      <c r="B45" s="14"/>
      <c r="C45" s="36"/>
      <c r="D45" s="5"/>
      <c r="E45" s="14"/>
      <c r="F45" s="36"/>
      <c r="G45" s="5"/>
      <c r="J45" s="89">
        <v>45</v>
      </c>
    </row>
    <row r="46" spans="2:10" ht="12.75" customHeight="1" x14ac:dyDescent="0.2">
      <c r="B46" s="14"/>
      <c r="C46" s="36"/>
      <c r="D46" s="5"/>
      <c r="E46" s="14"/>
      <c r="F46" s="36"/>
      <c r="G46" s="5"/>
      <c r="J46" s="89">
        <v>46</v>
      </c>
    </row>
    <row r="47" spans="2:10" ht="12.75" customHeight="1" x14ac:dyDescent="0.2">
      <c r="B47" s="14"/>
      <c r="C47" s="36"/>
      <c r="D47" s="5"/>
      <c r="E47" s="14"/>
      <c r="F47" s="36"/>
      <c r="G47" s="5"/>
      <c r="J47" s="89">
        <v>47</v>
      </c>
    </row>
    <row r="48" spans="2:10" ht="12.75" customHeight="1" x14ac:dyDescent="0.2">
      <c r="B48" s="14"/>
      <c r="C48" s="36"/>
      <c r="D48" s="5"/>
      <c r="E48" s="14"/>
      <c r="F48" s="36"/>
      <c r="G48" s="5"/>
      <c r="J48" s="89">
        <v>48</v>
      </c>
    </row>
    <row r="49" spans="2:10" ht="12.75" customHeight="1" x14ac:dyDescent="0.2">
      <c r="B49" s="14"/>
      <c r="C49" s="36"/>
      <c r="D49" s="5"/>
      <c r="E49" s="14"/>
      <c r="F49" s="36"/>
      <c r="G49" s="5"/>
      <c r="J49" s="89">
        <v>49</v>
      </c>
    </row>
    <row r="50" spans="2:10" ht="12.75" customHeight="1" x14ac:dyDescent="0.2">
      <c r="B50" s="14"/>
      <c r="C50" s="36"/>
      <c r="D50" s="5"/>
      <c r="E50" s="14"/>
      <c r="F50" s="36"/>
      <c r="G50" s="5"/>
      <c r="J50" s="89">
        <v>50</v>
      </c>
    </row>
    <row r="51" spans="2:10" ht="12.75" customHeight="1" x14ac:dyDescent="0.2">
      <c r="B51" s="14"/>
      <c r="C51" s="36"/>
      <c r="D51" s="5"/>
      <c r="E51" s="14"/>
      <c r="F51" s="36"/>
      <c r="G51" s="5"/>
      <c r="J51" s="89">
        <v>51</v>
      </c>
    </row>
    <row r="52" spans="2:10" ht="12.75" customHeight="1" x14ac:dyDescent="0.2">
      <c r="B52" s="14"/>
      <c r="C52" s="36"/>
      <c r="D52" s="5"/>
      <c r="E52" s="14"/>
      <c r="F52" s="36"/>
      <c r="G52" s="5"/>
      <c r="J52" s="89">
        <v>52</v>
      </c>
    </row>
    <row r="53" spans="2:10" ht="12.75" customHeight="1" x14ac:dyDescent="0.2">
      <c r="B53" s="14"/>
      <c r="C53" s="36"/>
      <c r="D53" s="5"/>
      <c r="E53" s="14"/>
      <c r="F53" s="36"/>
      <c r="G53" s="5"/>
      <c r="J53" s="89">
        <v>53</v>
      </c>
    </row>
    <row r="54" spans="2:10" ht="12.75" customHeight="1" x14ac:dyDescent="0.2">
      <c r="B54" s="14"/>
      <c r="C54" s="36"/>
      <c r="D54" s="5"/>
      <c r="E54" s="14"/>
      <c r="F54" s="36"/>
      <c r="G54" s="5"/>
      <c r="J54" s="89">
        <v>54</v>
      </c>
    </row>
    <row r="55" spans="2:10" ht="12.75" customHeight="1" x14ac:dyDescent="0.2">
      <c r="B55" s="14"/>
      <c r="C55" s="36"/>
      <c r="D55" s="5"/>
      <c r="E55" s="14"/>
      <c r="F55" s="36"/>
      <c r="G55" s="5"/>
      <c r="J55" s="89">
        <v>55</v>
      </c>
    </row>
    <row r="56" spans="2:10" ht="12.75" customHeight="1" x14ac:dyDescent="0.2">
      <c r="B56" s="14"/>
      <c r="C56" s="36"/>
      <c r="D56" s="5"/>
      <c r="E56" s="14"/>
      <c r="F56" s="36"/>
      <c r="G56" s="5"/>
      <c r="J56" s="89">
        <v>56</v>
      </c>
    </row>
    <row r="57" spans="2:10" ht="12.75" customHeight="1" x14ac:dyDescent="0.2">
      <c r="B57" s="14"/>
      <c r="C57" s="36"/>
      <c r="D57" s="5"/>
      <c r="E57" s="14"/>
      <c r="F57" s="36"/>
      <c r="G57" s="5"/>
      <c r="J57" s="89">
        <v>57</v>
      </c>
    </row>
    <row r="58" spans="2:10" ht="12.75" customHeight="1" x14ac:dyDescent="0.2">
      <c r="B58" s="14"/>
      <c r="C58" s="36"/>
      <c r="D58" s="5"/>
      <c r="E58" s="14"/>
      <c r="F58" s="36"/>
      <c r="G58" s="5"/>
      <c r="J58" s="89">
        <v>58</v>
      </c>
    </row>
    <row r="59" spans="2:10" ht="12.75" customHeight="1" x14ac:dyDescent="0.2">
      <c r="B59" s="14"/>
      <c r="C59" s="36"/>
      <c r="D59" s="5"/>
      <c r="E59" s="14"/>
      <c r="F59" s="36"/>
      <c r="G59" s="5"/>
      <c r="J59" s="89">
        <v>59</v>
      </c>
    </row>
    <row r="60" spans="2:10" ht="12.75" customHeight="1" x14ac:dyDescent="0.2">
      <c r="B60" s="14"/>
      <c r="C60" s="36"/>
      <c r="D60" s="5"/>
      <c r="E60" s="14"/>
      <c r="F60" s="36"/>
      <c r="G60" s="5"/>
      <c r="J60" s="89">
        <v>60</v>
      </c>
    </row>
    <row r="61" spans="2:10" ht="12.75" customHeight="1" x14ac:dyDescent="0.2">
      <c r="B61" s="14"/>
      <c r="C61" s="36"/>
      <c r="D61" s="5"/>
      <c r="E61" s="14"/>
      <c r="F61" s="36"/>
      <c r="G61" s="5"/>
      <c r="J61" s="89">
        <v>61</v>
      </c>
    </row>
    <row r="62" spans="2:10" ht="12.75" customHeight="1" x14ac:dyDescent="0.2">
      <c r="B62" s="14"/>
      <c r="C62" s="36"/>
      <c r="D62" s="5"/>
      <c r="E62" s="14"/>
      <c r="F62" s="36"/>
      <c r="G62" s="5"/>
      <c r="J62" s="89">
        <v>62</v>
      </c>
    </row>
    <row r="63" spans="2:10" ht="12.75" customHeight="1" x14ac:dyDescent="0.2">
      <c r="B63" s="14"/>
      <c r="C63" s="36"/>
      <c r="D63" s="5"/>
      <c r="E63" s="14"/>
      <c r="F63" s="36"/>
      <c r="G63" s="5"/>
      <c r="J63" s="89">
        <v>63</v>
      </c>
    </row>
    <row r="64" spans="2:10" ht="12.75" customHeight="1" x14ac:dyDescent="0.2">
      <c r="B64" s="14"/>
      <c r="C64" s="36"/>
      <c r="D64" s="5"/>
      <c r="E64" s="14"/>
      <c r="F64" s="36"/>
      <c r="G64" s="5"/>
      <c r="J64" s="89">
        <v>64</v>
      </c>
    </row>
    <row r="65" spans="2:11" ht="12.75" customHeight="1" x14ac:dyDescent="0.2">
      <c r="B65" s="14"/>
      <c r="C65" s="36"/>
      <c r="D65" s="5"/>
      <c r="E65" s="14"/>
      <c r="F65" s="36"/>
      <c r="G65" s="5"/>
      <c r="J65" s="89">
        <v>65</v>
      </c>
    </row>
    <row r="66" spans="2:11" ht="12.75" customHeight="1" x14ac:dyDescent="0.2">
      <c r="B66" s="14"/>
      <c r="C66" s="36"/>
      <c r="D66" s="5"/>
      <c r="E66" s="14"/>
      <c r="F66" s="36"/>
      <c r="G66" s="5"/>
      <c r="J66" s="89">
        <v>66</v>
      </c>
    </row>
    <row r="67" spans="2:11" ht="12.75" customHeight="1" x14ac:dyDescent="0.2">
      <c r="B67" s="14"/>
      <c r="C67" s="36"/>
      <c r="D67" s="5"/>
      <c r="E67" s="14"/>
      <c r="F67" s="36"/>
      <c r="G67" s="5"/>
      <c r="J67" s="89">
        <v>67</v>
      </c>
    </row>
    <row r="68" spans="2:11" ht="12.75" customHeight="1" x14ac:dyDescent="0.2">
      <c r="B68" s="14"/>
      <c r="C68" s="36"/>
      <c r="D68" s="5"/>
      <c r="E68" s="14"/>
      <c r="F68" s="36"/>
      <c r="G68" s="5"/>
      <c r="J68" s="89">
        <v>68</v>
      </c>
    </row>
    <row r="69" spans="2:11" ht="12.75" customHeight="1" x14ac:dyDescent="0.2">
      <c r="B69" s="14"/>
      <c r="C69" s="36"/>
      <c r="D69" s="5"/>
      <c r="E69" s="14"/>
      <c r="F69" s="36"/>
      <c r="G69" s="5"/>
      <c r="J69" s="89">
        <v>69</v>
      </c>
    </row>
    <row r="70" spans="2:11" ht="12.75" customHeight="1" x14ac:dyDescent="0.2">
      <c r="B70" s="14"/>
      <c r="C70" s="36"/>
      <c r="D70" s="5"/>
      <c r="E70" s="14"/>
      <c r="F70" s="36"/>
      <c r="G70" s="5"/>
      <c r="J70" s="89">
        <v>70</v>
      </c>
    </row>
    <row r="71" spans="2:11" ht="12.75" customHeight="1" x14ac:dyDescent="0.2">
      <c r="B71" s="14"/>
      <c r="C71" s="36"/>
      <c r="D71" s="5"/>
      <c r="E71" s="14"/>
      <c r="F71" s="36"/>
      <c r="G71" s="5"/>
      <c r="J71" s="89">
        <v>71</v>
      </c>
    </row>
    <row r="72" spans="2:11" ht="12.75" customHeight="1" x14ac:dyDescent="0.2">
      <c r="B72" s="14"/>
      <c r="C72" s="36"/>
      <c r="D72" s="5"/>
      <c r="E72" s="14"/>
      <c r="F72" s="36"/>
      <c r="G72" s="5"/>
      <c r="J72" s="89">
        <v>72</v>
      </c>
    </row>
    <row r="73" spans="2:11" ht="12.75" customHeight="1" x14ac:dyDescent="0.2">
      <c r="B73" s="14"/>
      <c r="C73" s="36"/>
      <c r="D73" s="5"/>
      <c r="E73" s="14"/>
      <c r="F73" s="36"/>
      <c r="G73" s="5"/>
      <c r="J73" s="89">
        <v>73</v>
      </c>
      <c r="K73" s="48"/>
    </row>
    <row r="74" spans="2:11" ht="12.75" customHeight="1" x14ac:dyDescent="0.2">
      <c r="B74" s="14"/>
      <c r="C74" s="36"/>
      <c r="D74" s="5"/>
      <c r="E74" s="14"/>
      <c r="F74" s="36"/>
      <c r="G74" s="5"/>
      <c r="J74" s="89">
        <v>74</v>
      </c>
      <c r="K74" s="48"/>
    </row>
    <row r="75" spans="2:11" ht="12.75" customHeight="1" x14ac:dyDescent="0.2">
      <c r="B75" s="14"/>
      <c r="C75" s="36"/>
      <c r="D75" s="5"/>
      <c r="E75" s="14"/>
      <c r="F75" s="36"/>
      <c r="G75" s="5"/>
      <c r="J75" s="89">
        <v>75</v>
      </c>
      <c r="K75" s="48"/>
    </row>
    <row r="76" spans="2:11" ht="12.75" customHeight="1" x14ac:dyDescent="0.2">
      <c r="B76" s="14"/>
      <c r="C76" s="36"/>
      <c r="D76" s="5"/>
      <c r="E76" s="14"/>
      <c r="F76" s="36"/>
      <c r="G76" s="5"/>
      <c r="J76" s="89">
        <v>76</v>
      </c>
      <c r="K76" s="48"/>
    </row>
    <row r="77" spans="2:11" ht="12.75" customHeight="1" x14ac:dyDescent="0.2">
      <c r="B77" s="14"/>
      <c r="C77" s="36"/>
      <c r="D77" s="5"/>
      <c r="E77" s="14"/>
      <c r="F77" s="36"/>
      <c r="G77" s="5"/>
      <c r="J77" s="89">
        <v>77</v>
      </c>
      <c r="K77" s="48"/>
    </row>
    <row r="78" spans="2:11" ht="12.75" customHeight="1" x14ac:dyDescent="0.2">
      <c r="B78" s="14"/>
      <c r="C78" s="36"/>
      <c r="D78" s="5"/>
      <c r="E78" s="14"/>
      <c r="F78" s="36"/>
      <c r="G78" s="5"/>
      <c r="J78" s="89">
        <v>78</v>
      </c>
      <c r="K78" s="48"/>
    </row>
    <row r="79" spans="2:11" ht="12.75" customHeight="1" x14ac:dyDescent="0.2">
      <c r="B79" s="14"/>
      <c r="C79" s="36"/>
      <c r="D79" s="5"/>
      <c r="E79" s="14"/>
      <c r="F79" s="36"/>
      <c r="G79" s="5"/>
      <c r="J79" s="89">
        <v>79</v>
      </c>
      <c r="K79" s="48"/>
    </row>
    <row r="80" spans="2:11" ht="12.75" customHeight="1" x14ac:dyDescent="0.2">
      <c r="B80" s="14"/>
      <c r="C80" s="36"/>
      <c r="D80" s="5"/>
      <c r="E80" s="14"/>
      <c r="F80" s="36"/>
      <c r="G80" s="5"/>
      <c r="J80" s="89">
        <v>80</v>
      </c>
      <c r="K80" s="48"/>
    </row>
    <row r="81" spans="2:11" ht="12.75" customHeight="1" x14ac:dyDescent="0.2">
      <c r="B81" s="14"/>
      <c r="C81" s="36"/>
      <c r="D81" s="5"/>
      <c r="E81" s="14"/>
      <c r="F81" s="36"/>
      <c r="G81" s="5"/>
      <c r="J81" s="89">
        <v>81</v>
      </c>
      <c r="K81" s="48"/>
    </row>
    <row r="82" spans="2:11" ht="12.75" customHeight="1" x14ac:dyDescent="0.2">
      <c r="B82" s="14"/>
      <c r="C82" s="36"/>
      <c r="D82" s="5"/>
      <c r="E82" s="14"/>
      <c r="F82" s="36"/>
      <c r="G82" s="5"/>
      <c r="J82" s="89">
        <v>82</v>
      </c>
      <c r="K82" s="48"/>
    </row>
    <row r="83" spans="2:11" ht="12.75" customHeight="1" x14ac:dyDescent="0.2">
      <c r="B83" s="14"/>
      <c r="C83" s="36"/>
      <c r="D83" s="5"/>
      <c r="E83" s="14"/>
      <c r="F83" s="36"/>
      <c r="G83" s="5"/>
      <c r="J83" s="89">
        <v>83</v>
      </c>
      <c r="K83" s="48"/>
    </row>
    <row r="84" spans="2:11" ht="12.75" customHeight="1" x14ac:dyDescent="0.2">
      <c r="B84" s="14"/>
      <c r="C84" s="36"/>
      <c r="D84" s="5"/>
      <c r="E84" s="14"/>
      <c r="F84" s="36"/>
      <c r="G84" s="5"/>
      <c r="J84" s="89">
        <v>84</v>
      </c>
      <c r="K84" s="48"/>
    </row>
    <row r="85" spans="2:11" ht="12.75" customHeight="1" x14ac:dyDescent="0.2">
      <c r="B85" s="14"/>
      <c r="C85" s="36"/>
      <c r="D85" s="5"/>
      <c r="E85" s="14"/>
      <c r="F85" s="36"/>
      <c r="G85" s="5"/>
      <c r="J85" s="89">
        <v>85</v>
      </c>
      <c r="K85" s="48"/>
    </row>
    <row r="86" spans="2:11" ht="12.75" customHeight="1" x14ac:dyDescent="0.2">
      <c r="B86" s="14"/>
      <c r="C86" s="36"/>
      <c r="D86" s="5"/>
      <c r="E86" s="14"/>
      <c r="F86" s="36"/>
      <c r="G86" s="5"/>
      <c r="J86" s="89">
        <v>86</v>
      </c>
      <c r="K86" s="48"/>
    </row>
    <row r="87" spans="2:11" ht="12.75" customHeight="1" x14ac:dyDescent="0.2">
      <c r="B87" s="14"/>
      <c r="C87" s="36"/>
      <c r="D87" s="5"/>
      <c r="E87" s="14"/>
      <c r="F87" s="36"/>
      <c r="G87" s="5"/>
      <c r="J87" s="89">
        <v>87</v>
      </c>
      <c r="K87" s="48"/>
    </row>
    <row r="88" spans="2:11" ht="12.75" customHeight="1" x14ac:dyDescent="0.2">
      <c r="B88" s="14"/>
      <c r="C88" s="36"/>
      <c r="D88" s="5"/>
      <c r="E88" s="14"/>
      <c r="F88" s="36"/>
      <c r="G88" s="5"/>
      <c r="J88" s="89">
        <v>88</v>
      </c>
      <c r="K88" s="48"/>
    </row>
    <row r="89" spans="2:11" ht="12.75" customHeight="1" x14ac:dyDescent="0.2">
      <c r="B89" s="14"/>
      <c r="C89" s="36"/>
      <c r="D89" s="5"/>
      <c r="E89" s="14"/>
      <c r="F89" s="36"/>
      <c r="G89" s="5"/>
      <c r="J89" s="89">
        <v>89</v>
      </c>
      <c r="K89" s="48"/>
    </row>
    <row r="90" spans="2:11" ht="12.75" customHeight="1" x14ac:dyDescent="0.2">
      <c r="B90" s="14"/>
      <c r="C90" s="36"/>
      <c r="D90" s="5"/>
      <c r="E90" s="14"/>
      <c r="F90" s="36"/>
      <c r="G90" s="5"/>
      <c r="J90" s="89">
        <v>90</v>
      </c>
      <c r="K90" s="48"/>
    </row>
    <row r="91" spans="2:11" ht="12.75" customHeight="1" x14ac:dyDescent="0.2">
      <c r="B91" s="14"/>
      <c r="C91" s="36"/>
      <c r="D91" s="5"/>
      <c r="E91" s="14"/>
      <c r="F91" s="36"/>
      <c r="G91" s="5"/>
      <c r="J91" s="89">
        <v>91</v>
      </c>
      <c r="K91" s="48"/>
    </row>
    <row r="92" spans="2:11" ht="12.75" customHeight="1" x14ac:dyDescent="0.2">
      <c r="B92" s="14"/>
      <c r="C92" s="36"/>
      <c r="D92" s="5"/>
      <c r="E92" s="14"/>
      <c r="F92" s="36"/>
      <c r="G92" s="5"/>
      <c r="J92" s="89">
        <v>92</v>
      </c>
      <c r="K92" s="48"/>
    </row>
    <row r="93" spans="2:11" ht="12.75" customHeight="1" x14ac:dyDescent="0.2">
      <c r="B93" s="14"/>
      <c r="C93" s="36"/>
      <c r="D93" s="5"/>
      <c r="E93" s="14"/>
      <c r="F93" s="36"/>
      <c r="G93" s="5"/>
      <c r="J93" s="89">
        <v>93</v>
      </c>
      <c r="K93" s="48"/>
    </row>
    <row r="94" spans="2:11" ht="12.75" customHeight="1" x14ac:dyDescent="0.2">
      <c r="B94" s="14"/>
      <c r="C94" s="36"/>
      <c r="D94" s="5"/>
      <c r="E94" s="14"/>
      <c r="F94" s="36"/>
      <c r="G94" s="5"/>
      <c r="J94" s="89">
        <v>94</v>
      </c>
      <c r="K94" s="48"/>
    </row>
    <row r="95" spans="2:11" ht="12.75" customHeight="1" x14ac:dyDescent="0.2">
      <c r="B95" s="14"/>
      <c r="C95" s="36"/>
      <c r="D95" s="5"/>
      <c r="E95" s="14"/>
      <c r="F95" s="36"/>
      <c r="G95" s="5"/>
      <c r="J95" s="89">
        <v>95</v>
      </c>
      <c r="K95" s="48"/>
    </row>
    <row r="96" spans="2:11" ht="12.75" customHeight="1" x14ac:dyDescent="0.2">
      <c r="B96" s="14"/>
      <c r="C96" s="36"/>
      <c r="D96" s="5"/>
      <c r="E96" s="14"/>
      <c r="F96" s="36"/>
      <c r="G96" s="5"/>
      <c r="J96" s="89">
        <v>96</v>
      </c>
      <c r="K96" s="48"/>
    </row>
    <row r="97" spans="1:11" ht="12.75" customHeight="1" x14ac:dyDescent="0.2">
      <c r="B97" s="14"/>
      <c r="C97" s="36"/>
      <c r="D97" s="5"/>
      <c r="E97" s="14"/>
      <c r="F97" s="36"/>
      <c r="G97" s="5"/>
      <c r="J97" s="89">
        <v>97</v>
      </c>
      <c r="K97" s="48"/>
    </row>
    <row r="98" spans="1:11" ht="12.75" customHeight="1" x14ac:dyDescent="0.2">
      <c r="A98" s="48">
        <f>_xlfn.LOGNORM.DIST($B$5,$C$259,$C$262,1)</f>
        <v>0.83077460325854724</v>
      </c>
      <c r="B98" s="11" t="s">
        <v>94</v>
      </c>
      <c r="C98" s="36"/>
      <c r="D98" s="5"/>
      <c r="E98" s="14"/>
      <c r="F98" s="36"/>
      <c r="G98" s="5"/>
      <c r="J98" s="89">
        <v>98</v>
      </c>
      <c r="K98" s="48"/>
    </row>
    <row r="99" spans="1:11" ht="12.75" customHeight="1" x14ac:dyDescent="0.2">
      <c r="A99" s="48">
        <f>_xlfn.LOGNORM.DIST($B$5,$G$259,$G$262,1)</f>
        <v>0.16922539674145279</v>
      </c>
      <c r="B99" s="11" t="s">
        <v>93</v>
      </c>
      <c r="C99" s="36"/>
      <c r="D99" s="5"/>
      <c r="E99" s="14"/>
      <c r="F99" s="36"/>
      <c r="G99" s="5"/>
      <c r="J99" s="89">
        <v>99</v>
      </c>
      <c r="K99" s="48"/>
    </row>
    <row r="100" spans="1:11" ht="12.75" customHeight="1" x14ac:dyDescent="0.2">
      <c r="A100" s="95" t="s">
        <v>96</v>
      </c>
      <c r="B100" s="94" t="s">
        <v>95</v>
      </c>
      <c r="E100" s="14"/>
      <c r="F100" s="36"/>
      <c r="G100" s="5"/>
      <c r="J100" s="89">
        <v>100</v>
      </c>
      <c r="K100" s="48"/>
    </row>
    <row r="101" spans="1:11" ht="12.75" customHeight="1" x14ac:dyDescent="0.2">
      <c r="B101" s="94" t="s">
        <v>126</v>
      </c>
      <c r="E101" s="14"/>
      <c r="F101" s="36"/>
      <c r="G101" s="5"/>
      <c r="J101" s="89">
        <v>101</v>
      </c>
      <c r="K101" s="48"/>
    </row>
    <row r="102" spans="1:11" ht="12.75" customHeight="1" x14ac:dyDescent="0.2">
      <c r="A102" s="48"/>
      <c r="B102" s="11"/>
      <c r="E102" s="14"/>
      <c r="F102" s="36"/>
      <c r="G102" s="5"/>
      <c r="J102" s="89">
        <v>102</v>
      </c>
      <c r="K102" s="48"/>
    </row>
    <row r="103" spans="1:11" ht="12.75" customHeight="1" x14ac:dyDescent="0.2">
      <c r="B103" s="14"/>
      <c r="C103" s="36"/>
      <c r="D103" s="5"/>
      <c r="E103" s="14"/>
      <c r="F103" s="36"/>
      <c r="G103" s="5"/>
      <c r="J103" s="89">
        <v>103</v>
      </c>
      <c r="K103" s="48"/>
    </row>
    <row r="104" spans="1:11" ht="12.75" customHeight="1" x14ac:dyDescent="0.2">
      <c r="B104" s="14"/>
      <c r="C104" s="36"/>
      <c r="D104" s="5"/>
      <c r="E104" s="14"/>
      <c r="F104" s="36"/>
      <c r="G104" s="5"/>
      <c r="J104" s="89">
        <v>104</v>
      </c>
      <c r="K104" s="48"/>
    </row>
    <row r="105" spans="1:11" ht="12.75" customHeight="1" x14ac:dyDescent="0.2">
      <c r="B105" s="14"/>
      <c r="C105" s="36"/>
      <c r="D105" s="5"/>
      <c r="E105" s="14"/>
      <c r="F105" s="36"/>
      <c r="G105" s="5"/>
      <c r="J105" s="89">
        <v>105</v>
      </c>
      <c r="K105" s="48"/>
    </row>
    <row r="106" spans="1:11" ht="12.75" customHeight="1" x14ac:dyDescent="0.2">
      <c r="B106" s="14"/>
      <c r="C106" s="36"/>
      <c r="D106" s="5"/>
      <c r="E106" s="14"/>
      <c r="F106" s="36"/>
      <c r="G106" s="5"/>
      <c r="J106" s="89">
        <v>106</v>
      </c>
      <c r="K106" s="48"/>
    </row>
    <row r="107" spans="1:11" ht="12.75" customHeight="1" x14ac:dyDescent="0.2">
      <c r="B107" s="14"/>
      <c r="C107" s="36"/>
      <c r="D107" s="5"/>
      <c r="E107" s="14"/>
      <c r="F107" s="36"/>
      <c r="G107" s="5"/>
      <c r="J107" s="89">
        <v>107</v>
      </c>
      <c r="K107" s="48"/>
    </row>
    <row r="108" spans="1:11" ht="12.75" customHeight="1" x14ac:dyDescent="0.2">
      <c r="B108" s="14"/>
      <c r="C108" s="36"/>
      <c r="D108" s="5"/>
      <c r="E108" s="14"/>
      <c r="F108" s="36"/>
      <c r="G108" s="5"/>
      <c r="J108" s="89">
        <v>108</v>
      </c>
      <c r="K108" s="48"/>
    </row>
    <row r="109" spans="1:11" ht="12.75" customHeight="1" x14ac:dyDescent="0.2">
      <c r="B109" s="14"/>
      <c r="C109" s="36"/>
      <c r="D109" s="5"/>
      <c r="E109" s="14"/>
      <c r="F109" s="36"/>
      <c r="G109" s="5"/>
      <c r="J109" s="89">
        <v>109</v>
      </c>
      <c r="K109" s="48"/>
    </row>
    <row r="110" spans="1:11" ht="12.75" customHeight="1" x14ac:dyDescent="0.2">
      <c r="B110" s="14"/>
      <c r="C110" s="36"/>
      <c r="D110" s="5"/>
      <c r="E110" s="14"/>
      <c r="F110" s="36"/>
      <c r="G110" s="5"/>
      <c r="J110" s="89">
        <v>110</v>
      </c>
      <c r="K110" s="48"/>
    </row>
    <row r="111" spans="1:11" ht="12.75" customHeight="1" x14ac:dyDescent="0.2">
      <c r="B111" s="14"/>
      <c r="C111" s="36"/>
      <c r="D111" s="5"/>
      <c r="E111" s="14"/>
      <c r="F111" s="36"/>
      <c r="G111" s="5"/>
      <c r="J111" s="89">
        <v>111</v>
      </c>
      <c r="K111" s="48"/>
    </row>
    <row r="112" spans="1:11" ht="12.75" customHeight="1" x14ac:dyDescent="0.2">
      <c r="B112" s="14"/>
      <c r="C112" s="36"/>
      <c r="D112" s="5"/>
      <c r="E112" s="14"/>
      <c r="F112" s="36"/>
      <c r="G112" s="5"/>
      <c r="J112" s="89">
        <v>112</v>
      </c>
      <c r="K112" s="48"/>
    </row>
    <row r="113" spans="2:11" ht="12.75" customHeight="1" x14ac:dyDescent="0.2">
      <c r="B113" s="14"/>
      <c r="C113" s="36"/>
      <c r="D113" s="5"/>
      <c r="E113" s="14"/>
      <c r="F113" s="36"/>
      <c r="G113" s="5"/>
      <c r="J113" s="89">
        <v>113</v>
      </c>
      <c r="K113" s="48"/>
    </row>
    <row r="114" spans="2:11" ht="12.75" customHeight="1" x14ac:dyDescent="0.2">
      <c r="B114" s="14"/>
      <c r="C114" s="36"/>
      <c r="D114" s="5"/>
      <c r="E114" s="14"/>
      <c r="F114" s="36"/>
      <c r="G114" s="5"/>
      <c r="J114" s="89">
        <v>114</v>
      </c>
      <c r="K114" s="48"/>
    </row>
    <row r="115" spans="2:11" ht="12.75" customHeight="1" x14ac:dyDescent="0.2">
      <c r="B115" s="14"/>
      <c r="C115" s="36"/>
      <c r="D115" s="5"/>
      <c r="E115" s="14"/>
      <c r="F115" s="36"/>
      <c r="G115" s="5"/>
      <c r="J115" s="89">
        <v>115</v>
      </c>
      <c r="K115" s="48"/>
    </row>
    <row r="116" spans="2:11" ht="12.75" customHeight="1" x14ac:dyDescent="0.2">
      <c r="B116" s="14"/>
      <c r="C116" s="36"/>
      <c r="D116" s="5"/>
      <c r="E116" s="14"/>
      <c r="F116" s="36"/>
      <c r="G116" s="5"/>
      <c r="J116" s="89">
        <v>116</v>
      </c>
      <c r="K116" s="48"/>
    </row>
    <row r="117" spans="2:11" ht="12.75" customHeight="1" x14ac:dyDescent="0.2">
      <c r="B117" s="14"/>
      <c r="C117" s="36"/>
      <c r="D117" s="5"/>
      <c r="E117" s="14"/>
      <c r="F117" s="36"/>
      <c r="G117" s="5"/>
      <c r="J117" s="89">
        <v>117</v>
      </c>
      <c r="K117" s="48"/>
    </row>
    <row r="118" spans="2:11" ht="12.75" customHeight="1" x14ac:dyDescent="0.2">
      <c r="B118" s="14"/>
      <c r="C118" s="36"/>
      <c r="D118" s="5"/>
      <c r="E118" s="14"/>
      <c r="F118" s="36"/>
      <c r="G118" s="5"/>
      <c r="J118" s="89">
        <v>118</v>
      </c>
      <c r="K118" s="48"/>
    </row>
    <row r="119" spans="2:11" ht="12.75" customHeight="1" x14ac:dyDescent="0.2">
      <c r="B119" s="14"/>
      <c r="C119" s="36"/>
      <c r="D119" s="5"/>
      <c r="E119" s="14"/>
      <c r="F119" s="36"/>
      <c r="G119" s="5"/>
      <c r="J119" s="89">
        <v>119</v>
      </c>
      <c r="K119" s="48"/>
    </row>
    <row r="120" spans="2:11" ht="12.75" customHeight="1" x14ac:dyDescent="0.2">
      <c r="B120" s="14"/>
      <c r="C120" s="36"/>
      <c r="D120" s="5"/>
      <c r="E120" s="14"/>
      <c r="F120" s="36"/>
      <c r="G120" s="5"/>
      <c r="J120" s="89">
        <v>120</v>
      </c>
      <c r="K120" s="48"/>
    </row>
    <row r="121" spans="2:11" ht="12.75" customHeight="1" x14ac:dyDescent="0.2">
      <c r="B121" s="14"/>
      <c r="C121" s="36"/>
      <c r="D121" s="5"/>
      <c r="E121" s="14"/>
      <c r="F121" s="36"/>
      <c r="G121" s="5"/>
      <c r="J121" s="89">
        <v>121</v>
      </c>
      <c r="K121" s="48"/>
    </row>
    <row r="122" spans="2:11" ht="12.75" customHeight="1" x14ac:dyDescent="0.2">
      <c r="B122" s="14"/>
      <c r="C122" s="36"/>
      <c r="D122" s="5"/>
      <c r="E122" s="14"/>
      <c r="F122" s="36"/>
      <c r="G122" s="5"/>
      <c r="J122" s="89">
        <v>122</v>
      </c>
      <c r="K122" s="48"/>
    </row>
    <row r="123" spans="2:11" ht="12.75" customHeight="1" x14ac:dyDescent="0.2">
      <c r="B123" s="14"/>
      <c r="C123" s="36"/>
      <c r="D123" s="5"/>
      <c r="E123" s="14"/>
      <c r="F123" s="36"/>
      <c r="G123" s="5"/>
      <c r="J123" s="89">
        <v>123</v>
      </c>
      <c r="K123" s="48"/>
    </row>
    <row r="124" spans="2:11" ht="12.75" customHeight="1" x14ac:dyDescent="0.2">
      <c r="B124" s="14"/>
      <c r="C124" s="36"/>
      <c r="D124" s="5"/>
      <c r="E124" s="14"/>
      <c r="F124" s="36"/>
      <c r="G124" s="5"/>
      <c r="J124" s="89">
        <v>124</v>
      </c>
      <c r="K124" s="48"/>
    </row>
    <row r="125" spans="2:11" ht="12.75" customHeight="1" x14ac:dyDescent="0.2">
      <c r="B125" s="14"/>
      <c r="C125" s="36"/>
      <c r="D125" s="5"/>
      <c r="E125" s="14"/>
      <c r="F125" s="36"/>
      <c r="G125" s="5"/>
      <c r="J125" s="89">
        <v>125</v>
      </c>
      <c r="K125" s="48"/>
    </row>
    <row r="126" spans="2:11" ht="12.75" customHeight="1" x14ac:dyDescent="0.2">
      <c r="B126" s="14"/>
      <c r="C126" s="36"/>
      <c r="D126" s="5"/>
      <c r="E126" s="14"/>
      <c r="F126" s="36"/>
      <c r="G126" s="5"/>
      <c r="J126" s="89">
        <v>126</v>
      </c>
      <c r="K126" s="48"/>
    </row>
    <row r="127" spans="2:11" ht="12.75" customHeight="1" x14ac:dyDescent="0.2">
      <c r="B127" s="14"/>
      <c r="C127" s="36"/>
      <c r="D127" s="5"/>
      <c r="E127" s="14"/>
      <c r="F127" s="36"/>
      <c r="G127" s="5"/>
      <c r="J127" s="89">
        <v>127</v>
      </c>
      <c r="K127" s="48"/>
    </row>
    <row r="128" spans="2:11" ht="12.75" customHeight="1" x14ac:dyDescent="0.2">
      <c r="B128" s="14"/>
      <c r="C128" s="36"/>
      <c r="D128" s="5"/>
      <c r="E128" s="14"/>
      <c r="F128" s="36"/>
      <c r="G128" s="5"/>
      <c r="J128" s="89">
        <v>128</v>
      </c>
      <c r="K128" s="48"/>
    </row>
    <row r="129" spans="1:11" ht="12.75" customHeight="1" x14ac:dyDescent="0.2">
      <c r="B129" s="14"/>
      <c r="C129" s="36"/>
      <c r="D129" s="5"/>
      <c r="E129" s="14"/>
      <c r="F129" s="36"/>
      <c r="G129" s="5"/>
      <c r="J129" s="89">
        <v>129</v>
      </c>
      <c r="K129" s="48"/>
    </row>
    <row r="130" spans="1:11" ht="12.75" customHeight="1" x14ac:dyDescent="0.2">
      <c r="B130" s="14"/>
      <c r="C130" s="36"/>
      <c r="D130" s="5"/>
      <c r="E130" s="14"/>
      <c r="F130" s="36"/>
      <c r="G130" s="5"/>
      <c r="J130" s="89">
        <v>130</v>
      </c>
      <c r="K130" s="48"/>
    </row>
    <row r="131" spans="1:11" ht="12.75" customHeight="1" x14ac:dyDescent="0.2">
      <c r="B131" s="14"/>
      <c r="C131" s="36"/>
      <c r="D131" s="5"/>
      <c r="E131" s="14"/>
      <c r="F131" s="36"/>
      <c r="G131" s="5"/>
      <c r="J131" s="89">
        <v>131</v>
      </c>
      <c r="K131" s="48"/>
    </row>
    <row r="132" spans="1:11" ht="12.75" customHeight="1" x14ac:dyDescent="0.2">
      <c r="B132" s="14"/>
      <c r="C132" s="36"/>
      <c r="D132" s="5"/>
      <c r="E132" s="14"/>
      <c r="F132" s="36"/>
      <c r="G132" s="5"/>
      <c r="J132" s="89">
        <v>132</v>
      </c>
      <c r="K132" s="48"/>
    </row>
    <row r="133" spans="1:11" ht="12.75" customHeight="1" x14ac:dyDescent="0.2">
      <c r="J133" s="89">
        <v>133</v>
      </c>
      <c r="K133" s="48"/>
    </row>
    <row r="134" spans="1:11" ht="12.75" customHeight="1" x14ac:dyDescent="0.2">
      <c r="J134" s="89">
        <v>134</v>
      </c>
      <c r="K134" s="48"/>
    </row>
    <row r="135" spans="1:11" ht="12.75" customHeight="1" x14ac:dyDescent="0.2">
      <c r="J135" s="89">
        <v>135</v>
      </c>
      <c r="K135" s="48"/>
    </row>
    <row r="136" spans="1:11" ht="12.75" customHeight="1" x14ac:dyDescent="0.2">
      <c r="J136" s="89">
        <v>136</v>
      </c>
      <c r="K136" s="48"/>
    </row>
    <row r="137" spans="1:11" ht="12.75" customHeight="1" x14ac:dyDescent="0.2">
      <c r="J137" s="89">
        <v>137</v>
      </c>
      <c r="K137" s="48"/>
    </row>
    <row r="138" spans="1:11" ht="12.75" customHeight="1" x14ac:dyDescent="0.2">
      <c r="J138" s="89">
        <v>138</v>
      </c>
      <c r="K138" s="48"/>
    </row>
    <row r="139" spans="1:11" ht="12.75" customHeight="1" x14ac:dyDescent="0.2">
      <c r="J139" s="89">
        <v>139</v>
      </c>
      <c r="K139" s="48"/>
    </row>
    <row r="140" spans="1:11" ht="12.75" customHeight="1" x14ac:dyDescent="0.2">
      <c r="A140" s="48"/>
      <c r="B140" s="11"/>
      <c r="E140" s="14"/>
      <c r="F140" s="36"/>
      <c r="G140" s="5"/>
      <c r="J140" s="89">
        <v>140</v>
      </c>
      <c r="K140" s="48"/>
    </row>
    <row r="141" spans="1:11" ht="12.75" customHeight="1" x14ac:dyDescent="0.2">
      <c r="A141" s="48"/>
      <c r="B141" s="11"/>
      <c r="E141" s="14"/>
      <c r="F141" s="36"/>
      <c r="G141" s="5"/>
      <c r="J141" s="89">
        <v>141</v>
      </c>
      <c r="K141" s="48"/>
    </row>
    <row r="142" spans="1:11" ht="12.75" customHeight="1" x14ac:dyDescent="0.2">
      <c r="A142" s="48"/>
      <c r="B142" s="11"/>
      <c r="E142" s="14"/>
      <c r="F142" s="36"/>
      <c r="G142" s="5"/>
      <c r="J142" s="89">
        <v>142</v>
      </c>
      <c r="K142" s="48"/>
    </row>
    <row r="143" spans="1:11" ht="12.75" customHeight="1" x14ac:dyDescent="0.2">
      <c r="A143" s="48"/>
      <c r="B143" s="11"/>
      <c r="E143" s="14"/>
      <c r="F143" s="36"/>
      <c r="G143" s="5"/>
      <c r="J143" s="89">
        <v>143</v>
      </c>
      <c r="K143" s="48"/>
    </row>
    <row r="144" spans="1:11" ht="12.75" customHeight="1" x14ac:dyDescent="0.2">
      <c r="A144" s="48"/>
      <c r="B144" s="11"/>
      <c r="E144" s="14"/>
      <c r="F144" s="36"/>
      <c r="G144" s="5"/>
      <c r="J144" s="89">
        <v>144</v>
      </c>
      <c r="K144" s="48"/>
    </row>
    <row r="145" spans="1:13" ht="12.75" customHeight="1" x14ac:dyDescent="0.2">
      <c r="A145" s="48"/>
      <c r="B145" s="11"/>
      <c r="E145" s="14"/>
      <c r="F145" s="36"/>
      <c r="G145" s="5"/>
      <c r="J145" s="89">
        <v>145</v>
      </c>
      <c r="K145" s="48"/>
    </row>
    <row r="146" spans="1:13" ht="12.75" customHeight="1" x14ac:dyDescent="0.2">
      <c r="A146" s="48"/>
      <c r="B146" s="11"/>
      <c r="E146" s="14"/>
      <c r="F146" s="36"/>
      <c r="G146" s="5"/>
      <c r="J146" s="89">
        <v>146</v>
      </c>
      <c r="K146" s="48"/>
    </row>
    <row r="147" spans="1:13" ht="12.75" customHeight="1" x14ac:dyDescent="0.2">
      <c r="J147" s="89">
        <v>147</v>
      </c>
      <c r="K147" s="48"/>
    </row>
    <row r="148" spans="1:13" ht="12.75" customHeight="1" x14ac:dyDescent="0.2">
      <c r="J148" s="89">
        <v>148</v>
      </c>
      <c r="K148" s="48"/>
      <c r="L148" s="11"/>
      <c r="M148" s="11"/>
    </row>
    <row r="149" spans="1:13" ht="12.75" customHeight="1" x14ac:dyDescent="0.2">
      <c r="A149" s="48">
        <f>1-_xlfn.LOGNORM.DIST($B$5,$G$259,$G$262,1)</f>
        <v>0.83077460325854724</v>
      </c>
      <c r="B149" s="11" t="s">
        <v>131</v>
      </c>
      <c r="J149" s="89">
        <v>149</v>
      </c>
      <c r="K149" s="48"/>
    </row>
    <row r="150" spans="1:13" ht="12.75" customHeight="1" x14ac:dyDescent="0.2">
      <c r="A150" s="4" t="s">
        <v>127</v>
      </c>
      <c r="J150" s="89">
        <v>150</v>
      </c>
      <c r="K150" s="48"/>
    </row>
    <row r="151" spans="1:13" ht="12.75" customHeight="1" x14ac:dyDescent="0.2">
      <c r="A151" s="48">
        <f>1-_xlfn.LOGNORM.DIST($B$5,$C$259,$C$262,1)</f>
        <v>0.16922539674145276</v>
      </c>
      <c r="B151" s="11" t="s">
        <v>132</v>
      </c>
      <c r="E151" s="14"/>
      <c r="F151" s="36"/>
      <c r="G151" s="5"/>
      <c r="H151" s="94" t="s">
        <v>119</v>
      </c>
      <c r="J151" s="89">
        <v>151</v>
      </c>
      <c r="K151" s="48"/>
    </row>
    <row r="152" spans="1:13" ht="12.75" customHeight="1" x14ac:dyDescent="0.2">
      <c r="A152" s="48">
        <f>1-_xlfn.LOGNORM.DIST($B$5,$G$259,$G$262,1)</f>
        <v>0.83077460325854724</v>
      </c>
      <c r="B152" s="11" t="s">
        <v>133</v>
      </c>
      <c r="E152" s="14"/>
      <c r="F152" s="36"/>
      <c r="G152" s="5"/>
      <c r="J152" s="89">
        <v>152</v>
      </c>
      <c r="K152" s="48"/>
    </row>
    <row r="153" spans="1:13" ht="12.75" customHeight="1" x14ac:dyDescent="0.2">
      <c r="J153" s="89">
        <v>153</v>
      </c>
      <c r="K153" s="48"/>
    </row>
    <row r="154" spans="1:13" ht="12.75" customHeight="1" x14ac:dyDescent="0.2">
      <c r="A154" s="62" t="s">
        <v>23</v>
      </c>
      <c r="B154" s="63" t="s">
        <v>24</v>
      </c>
      <c r="C154" s="24" t="s">
        <v>25</v>
      </c>
      <c r="D154" s="64" t="s">
        <v>26</v>
      </c>
      <c r="E154" s="63" t="s">
        <v>27</v>
      </c>
      <c r="F154" s="63" t="s">
        <v>28</v>
      </c>
      <c r="G154" s="63" t="s">
        <v>29</v>
      </c>
      <c r="H154" s="63" t="s">
        <v>30</v>
      </c>
      <c r="I154" s="63" t="s">
        <v>31</v>
      </c>
      <c r="J154" s="89">
        <v>154</v>
      </c>
    </row>
    <row r="155" spans="1:13" ht="12.75" customHeight="1" x14ac:dyDescent="0.2">
      <c r="A155" s="11" t="s">
        <v>61</v>
      </c>
      <c r="F155" s="19" t="s">
        <v>62</v>
      </c>
      <c r="J155" s="89">
        <v>155</v>
      </c>
    </row>
    <row r="156" spans="1:13" ht="12.75" customHeight="1" x14ac:dyDescent="0.2">
      <c r="J156" s="89">
        <v>156</v>
      </c>
    </row>
    <row r="157" spans="1:13" ht="12.75" customHeight="1" x14ac:dyDescent="0.2">
      <c r="J157" s="89">
        <v>157</v>
      </c>
    </row>
    <row r="158" spans="1:13" ht="12.75" customHeight="1" x14ac:dyDescent="0.2">
      <c r="A158" s="4" t="s">
        <v>37</v>
      </c>
      <c r="F158" s="18"/>
      <c r="G158" s="14"/>
      <c r="J158" s="89">
        <v>158</v>
      </c>
    </row>
    <row r="159" spans="1:13" ht="12.75" customHeight="1" x14ac:dyDescent="0.2">
      <c r="A159" s="9" t="s">
        <v>42</v>
      </c>
      <c r="B159" s="39" t="s">
        <v>58</v>
      </c>
      <c r="C159" s="9" t="s">
        <v>43</v>
      </c>
      <c r="D159" s="38" t="s">
        <v>4</v>
      </c>
      <c r="E159" s="38" t="s">
        <v>4</v>
      </c>
      <c r="F159" t="s">
        <v>59</v>
      </c>
      <c r="G159" s="19" t="s">
        <v>4</v>
      </c>
      <c r="I159" s="11" t="s">
        <v>124</v>
      </c>
      <c r="J159" s="89">
        <v>159</v>
      </c>
    </row>
    <row r="160" spans="1:13" ht="12.75" customHeight="1" thickBot="1" x14ac:dyDescent="0.25">
      <c r="A160" s="17" t="s">
        <v>17</v>
      </c>
      <c r="B160" s="17" t="s">
        <v>4</v>
      </c>
      <c r="C160" s="17" t="s">
        <v>41</v>
      </c>
      <c r="D160" s="9" t="s">
        <v>45</v>
      </c>
      <c r="E160" s="9" t="s">
        <v>8</v>
      </c>
      <c r="F160" s="9" t="s">
        <v>60</v>
      </c>
      <c r="G160" s="17" t="s">
        <v>55</v>
      </c>
      <c r="H160" s="14" t="s">
        <v>56</v>
      </c>
      <c r="I160" s="122" t="s">
        <v>125</v>
      </c>
      <c r="J160" s="89">
        <v>160</v>
      </c>
    </row>
    <row r="161" spans="1:14" ht="12.75" customHeight="1" x14ac:dyDescent="0.2">
      <c r="A161" s="46">
        <v>0</v>
      </c>
      <c r="B161" s="47">
        <v>0</v>
      </c>
      <c r="C161" s="73">
        <v>0</v>
      </c>
      <c r="D161" s="96">
        <f t="shared" ref="D161:D181" si="0">B161/B$5</f>
        <v>0</v>
      </c>
      <c r="E161" s="97">
        <f t="shared" ref="E161:E181" si="1">B$5</f>
        <v>500000</v>
      </c>
      <c r="F161" s="98">
        <f>ROUND(B161/1000,1)</f>
        <v>0</v>
      </c>
      <c r="G161" s="97">
        <f t="shared" ref="G161:G181" si="2">B161-E161</f>
        <v>-500000</v>
      </c>
      <c r="H161" s="99"/>
      <c r="I161" s="5"/>
      <c r="J161" s="89">
        <v>161</v>
      </c>
    </row>
    <row r="162" spans="1:14" ht="12.75" customHeight="1" x14ac:dyDescent="0.2">
      <c r="A162" s="25">
        <v>0.05</v>
      </c>
      <c r="B162" s="40">
        <f t="shared" ref="B162:B181" si="3">_xlfn.LOGNORM.INV(A162,C$259,C$262)</f>
        <v>3431.5692127848788</v>
      </c>
      <c r="C162" s="56">
        <f t="shared" ref="C162:C180" si="4">_xlfn.LOGNORM.DIST(B162,G$259,G$262,1)</f>
        <v>1.8591156599973924E-4</v>
      </c>
      <c r="D162" s="100">
        <f t="shared" si="0"/>
        <v>6.8631384255697578E-3</v>
      </c>
      <c r="E162" s="59">
        <f t="shared" si="1"/>
        <v>500000</v>
      </c>
      <c r="F162" s="101">
        <f t="shared" ref="F162:F181" si="5">ROUND(B162/1000,1)</f>
        <v>3.4</v>
      </c>
      <c r="G162" s="59">
        <f t="shared" si="2"/>
        <v>-496568.43078721513</v>
      </c>
      <c r="H162" s="102">
        <f t="shared" ref="H162:H181" si="6">C162-C161</f>
        <v>1.8591156599973924E-4</v>
      </c>
      <c r="I162" s="126">
        <f>C162/A162</f>
        <v>3.7182313199947848E-3</v>
      </c>
      <c r="J162" s="89">
        <v>162</v>
      </c>
    </row>
    <row r="163" spans="1:14" ht="12.75" customHeight="1" x14ac:dyDescent="0.2">
      <c r="A163" s="25">
        <v>0.1</v>
      </c>
      <c r="B163" s="40">
        <f t="shared" si="3"/>
        <v>6879.4965349580889</v>
      </c>
      <c r="C163" s="74">
        <f t="shared" si="4"/>
        <v>6.9670395082730753E-4</v>
      </c>
      <c r="D163" s="100">
        <f t="shared" si="0"/>
        <v>1.3758993069916178E-2</v>
      </c>
      <c r="E163" s="59">
        <f t="shared" si="1"/>
        <v>500000</v>
      </c>
      <c r="F163" s="101">
        <f t="shared" si="5"/>
        <v>6.9</v>
      </c>
      <c r="G163" s="59">
        <f t="shared" si="2"/>
        <v>-493120.50346504193</v>
      </c>
      <c r="H163" s="102">
        <f t="shared" si="6"/>
        <v>5.1079238482756829E-4</v>
      </c>
      <c r="I163" s="126">
        <f t="shared" ref="I163:I181" si="7">C163/A163</f>
        <v>6.9670395082730751E-3</v>
      </c>
      <c r="J163" s="89">
        <v>163</v>
      </c>
    </row>
    <row r="164" spans="1:14" ht="12.75" customHeight="1" x14ac:dyDescent="0.2">
      <c r="A164" s="25">
        <v>0.15</v>
      </c>
      <c r="B164" s="40">
        <f t="shared" si="3"/>
        <v>10999.114704288313</v>
      </c>
      <c r="C164" s="74">
        <f t="shared" si="4"/>
        <v>1.5842734979657895E-3</v>
      </c>
      <c r="D164" s="100">
        <f t="shared" si="0"/>
        <v>2.1998229408576625E-2</v>
      </c>
      <c r="E164" s="59">
        <f t="shared" si="1"/>
        <v>500000</v>
      </c>
      <c r="F164" s="101">
        <f t="shared" si="5"/>
        <v>11</v>
      </c>
      <c r="G164" s="59">
        <f t="shared" si="2"/>
        <v>-489000.88529571169</v>
      </c>
      <c r="H164" s="102">
        <f t="shared" si="6"/>
        <v>8.8756954713848193E-4</v>
      </c>
      <c r="I164" s="126">
        <f t="shared" si="7"/>
        <v>1.0561823319771931E-2</v>
      </c>
      <c r="J164" s="89">
        <v>164</v>
      </c>
    </row>
    <row r="165" spans="1:14" ht="12.75" customHeight="1" x14ac:dyDescent="0.2">
      <c r="A165" s="25">
        <v>0.2</v>
      </c>
      <c r="B165" s="40">
        <f t="shared" si="3"/>
        <v>15971.009381473876</v>
      </c>
      <c r="C165" s="74">
        <f t="shared" si="4"/>
        <v>2.9249096996895132E-3</v>
      </c>
      <c r="D165" s="100">
        <f t="shared" si="0"/>
        <v>3.1942018762947749E-2</v>
      </c>
      <c r="E165" s="59">
        <f t="shared" si="1"/>
        <v>500000</v>
      </c>
      <c r="F165" s="101">
        <f t="shared" si="5"/>
        <v>16</v>
      </c>
      <c r="G165" s="59">
        <f t="shared" si="2"/>
        <v>-484028.99061852612</v>
      </c>
      <c r="H165" s="102">
        <f t="shared" si="6"/>
        <v>1.3406362017237237E-3</v>
      </c>
      <c r="I165" s="126">
        <f t="shared" si="7"/>
        <v>1.4624548498447566E-2</v>
      </c>
      <c r="J165" s="89">
        <v>165</v>
      </c>
    </row>
    <row r="166" spans="1:14" ht="12.75" customHeight="1" x14ac:dyDescent="0.2">
      <c r="A166" s="25">
        <v>0.25</v>
      </c>
      <c r="B166" s="40">
        <f t="shared" si="3"/>
        <v>21993.390127880648</v>
      </c>
      <c r="C166" s="74">
        <f t="shared" si="4"/>
        <v>4.8134357657976306E-3</v>
      </c>
      <c r="D166" s="100">
        <f t="shared" si="0"/>
        <v>4.3986780255761297E-2</v>
      </c>
      <c r="E166" s="59">
        <f t="shared" si="1"/>
        <v>500000</v>
      </c>
      <c r="F166" s="101">
        <f t="shared" si="5"/>
        <v>22</v>
      </c>
      <c r="G166" s="59">
        <f t="shared" si="2"/>
        <v>-478006.60987211933</v>
      </c>
      <c r="H166" s="102">
        <f t="shared" si="6"/>
        <v>1.8885260661081174E-3</v>
      </c>
      <c r="I166" s="126">
        <f t="shared" si="7"/>
        <v>1.9253743063190523E-2</v>
      </c>
      <c r="J166" s="89">
        <v>166</v>
      </c>
    </row>
    <row r="167" spans="1:14" ht="12.75" customHeight="1" x14ac:dyDescent="0.2">
      <c r="A167" s="25">
        <v>0.3</v>
      </c>
      <c r="B167" s="40">
        <f t="shared" si="3"/>
        <v>29314.492838099635</v>
      </c>
      <c r="C167" s="74">
        <f t="shared" si="4"/>
        <v>7.3667960151928957E-3</v>
      </c>
      <c r="D167" s="100">
        <f t="shared" si="0"/>
        <v>5.8628985676199272E-2</v>
      </c>
      <c r="E167" s="59">
        <f t="shared" si="1"/>
        <v>500000</v>
      </c>
      <c r="F167" s="101">
        <f t="shared" si="5"/>
        <v>29.3</v>
      </c>
      <c r="G167" s="59">
        <f t="shared" si="2"/>
        <v>-470685.50716190034</v>
      </c>
      <c r="H167" s="102">
        <f t="shared" si="6"/>
        <v>2.553360249395265E-3</v>
      </c>
      <c r="I167" s="126">
        <f t="shared" si="7"/>
        <v>2.4555986717309655E-2</v>
      </c>
      <c r="J167" s="89">
        <v>167</v>
      </c>
    </row>
    <row r="168" spans="1:14" ht="12.75" customHeight="1" x14ac:dyDescent="0.2">
      <c r="A168" s="25">
        <v>0.35</v>
      </c>
      <c r="B168" s="40">
        <f t="shared" si="3"/>
        <v>38257.72219184172</v>
      </c>
      <c r="C168" s="74">
        <f t="shared" si="4"/>
        <v>1.0730287131530274E-2</v>
      </c>
      <c r="D168" s="100">
        <f t="shared" si="0"/>
        <v>7.6515444383683434E-2</v>
      </c>
      <c r="E168" s="59">
        <f t="shared" si="1"/>
        <v>500000</v>
      </c>
      <c r="F168" s="101">
        <f t="shared" si="5"/>
        <v>38.299999999999997</v>
      </c>
      <c r="G168" s="59">
        <f t="shared" si="2"/>
        <v>-461742.27780815831</v>
      </c>
      <c r="H168" s="102">
        <f t="shared" si="6"/>
        <v>3.3634911163373787E-3</v>
      </c>
      <c r="I168" s="126">
        <f t="shared" si="7"/>
        <v>3.0657963232943643E-2</v>
      </c>
      <c r="J168" s="89">
        <v>168</v>
      </c>
    </row>
    <row r="169" spans="1:14" ht="12.75" customHeight="1" x14ac:dyDescent="0.2">
      <c r="A169" s="25">
        <v>0.4</v>
      </c>
      <c r="B169" s="40">
        <f t="shared" si="3"/>
        <v>49254.629020364315</v>
      </c>
      <c r="C169" s="74">
        <f t="shared" si="4"/>
        <v>1.5086625081244595E-2</v>
      </c>
      <c r="D169" s="100">
        <f t="shared" si="0"/>
        <v>9.8509258040728631E-2</v>
      </c>
      <c r="E169" s="59">
        <f t="shared" si="1"/>
        <v>500000</v>
      </c>
      <c r="F169" s="101">
        <f t="shared" si="5"/>
        <v>49.3</v>
      </c>
      <c r="G169" s="59">
        <f t="shared" si="2"/>
        <v>-450745.37097963569</v>
      </c>
      <c r="H169" s="102">
        <f t="shared" si="6"/>
        <v>4.3563379497143211E-3</v>
      </c>
      <c r="I169" s="126">
        <f t="shared" si="7"/>
        <v>3.7716562703111488E-2</v>
      </c>
      <c r="J169" s="89">
        <v>169</v>
      </c>
    </row>
    <row r="170" spans="1:14" ht="12.75" customHeight="1" x14ac:dyDescent="0.2">
      <c r="A170" s="25">
        <v>0.45</v>
      </c>
      <c r="B170" s="40">
        <f t="shared" si="3"/>
        <v>62894.129020638436</v>
      </c>
      <c r="C170" s="74">
        <f t="shared" si="4"/>
        <v>2.0669044645475015E-2</v>
      </c>
      <c r="D170" s="100">
        <f t="shared" si="0"/>
        <v>0.12578825804127688</v>
      </c>
      <c r="E170" s="59">
        <f t="shared" si="1"/>
        <v>500000</v>
      </c>
      <c r="F170" s="101">
        <f t="shared" si="5"/>
        <v>62.9</v>
      </c>
      <c r="G170" s="59">
        <f t="shared" si="2"/>
        <v>-437105.87097936159</v>
      </c>
      <c r="H170" s="102">
        <f t="shared" si="6"/>
        <v>5.5824195642304193E-3</v>
      </c>
      <c r="I170" s="126">
        <f t="shared" si="7"/>
        <v>4.5931210323277807E-2</v>
      </c>
      <c r="J170" s="89">
        <v>170</v>
      </c>
    </row>
    <row r="171" spans="1:14" ht="12.75" customHeight="1" x14ac:dyDescent="0.2">
      <c r="A171" s="25">
        <v>0.5</v>
      </c>
      <c r="B171" s="40">
        <f t="shared" si="3"/>
        <v>79999.999999999942</v>
      </c>
      <c r="C171" s="74">
        <f t="shared" si="4"/>
        <v>2.7780605417786798E-2</v>
      </c>
      <c r="D171" s="100">
        <f t="shared" si="0"/>
        <v>0.15999999999999989</v>
      </c>
      <c r="E171" s="59">
        <f t="shared" si="1"/>
        <v>500000</v>
      </c>
      <c r="F171" s="101">
        <f t="shared" si="5"/>
        <v>80</v>
      </c>
      <c r="G171" s="59">
        <f t="shared" si="2"/>
        <v>-420000.00000000006</v>
      </c>
      <c r="H171" s="102">
        <f t="shared" si="6"/>
        <v>7.1115607723117834E-3</v>
      </c>
      <c r="I171" s="126">
        <f t="shared" si="7"/>
        <v>5.5561210835573596E-2</v>
      </c>
      <c r="J171" s="89">
        <v>171</v>
      </c>
    </row>
    <row r="172" spans="1:14" ht="12.75" customHeight="1" x14ac:dyDescent="0.2">
      <c r="A172" s="25">
        <v>0.55000000000000004</v>
      </c>
      <c r="B172" s="40">
        <f t="shared" si="3"/>
        <v>101758.30557888575</v>
      </c>
      <c r="C172" s="74">
        <f t="shared" si="4"/>
        <v>3.6823501191922313E-2</v>
      </c>
      <c r="D172" s="100">
        <f t="shared" si="0"/>
        <v>0.2035166111577715</v>
      </c>
      <c r="E172" s="59">
        <f t="shared" si="1"/>
        <v>500000</v>
      </c>
      <c r="F172" s="101">
        <f t="shared" si="5"/>
        <v>101.8</v>
      </c>
      <c r="G172" s="59">
        <f t="shared" si="2"/>
        <v>-398241.69442111428</v>
      </c>
      <c r="H172" s="102">
        <f t="shared" si="6"/>
        <v>9.0428957741355148E-3</v>
      </c>
      <c r="I172" s="126">
        <f t="shared" si="7"/>
        <v>6.6951820348949656E-2</v>
      </c>
      <c r="J172" s="89">
        <v>172</v>
      </c>
      <c r="M172" s="11"/>
    </row>
    <row r="173" spans="1:14" ht="12.75" customHeight="1" x14ac:dyDescent="0.2">
      <c r="A173" s="25">
        <v>0.6</v>
      </c>
      <c r="B173" s="40">
        <f t="shared" si="3"/>
        <v>129937.02576368839</v>
      </c>
      <c r="C173" s="74">
        <f t="shared" si="4"/>
        <v>4.834523434703495E-2</v>
      </c>
      <c r="D173" s="100">
        <f t="shared" si="0"/>
        <v>0.2598740515273768</v>
      </c>
      <c r="E173" s="59">
        <f t="shared" si="1"/>
        <v>500000</v>
      </c>
      <c r="F173" s="101">
        <f t="shared" si="5"/>
        <v>129.9</v>
      </c>
      <c r="G173" s="59">
        <f t="shared" si="2"/>
        <v>-370062.97423631162</v>
      </c>
      <c r="H173" s="102">
        <f t="shared" si="6"/>
        <v>1.1521733155112637E-2</v>
      </c>
      <c r="I173" s="126">
        <f t="shared" si="7"/>
        <v>8.0575390578391581E-2</v>
      </c>
      <c r="J173" s="89">
        <v>173</v>
      </c>
      <c r="M173" s="11"/>
    </row>
    <row r="174" spans="1:14" ht="12.75" customHeight="1" x14ac:dyDescent="0.2">
      <c r="A174" s="25">
        <v>0.65</v>
      </c>
      <c r="B174" s="40">
        <f t="shared" si="3"/>
        <v>167286.48840899268</v>
      </c>
      <c r="C174" s="74">
        <f t="shared" si="4"/>
        <v>6.3114739421952309E-2</v>
      </c>
      <c r="D174" s="100">
        <f t="shared" si="0"/>
        <v>0.33457297681798537</v>
      </c>
      <c r="E174" s="59">
        <f t="shared" si="1"/>
        <v>500000</v>
      </c>
      <c r="F174" s="101">
        <f t="shared" si="5"/>
        <v>167.3</v>
      </c>
      <c r="G174" s="59">
        <f t="shared" si="2"/>
        <v>-332713.51159100735</v>
      </c>
      <c r="H174" s="102">
        <f t="shared" si="6"/>
        <v>1.4769505074917359E-2</v>
      </c>
      <c r="I174" s="126">
        <f t="shared" si="7"/>
        <v>9.7099599110695864E-2</v>
      </c>
      <c r="J174" s="89">
        <v>174</v>
      </c>
      <c r="M174" s="11"/>
      <c r="N174" s="11"/>
    </row>
    <row r="175" spans="1:14" ht="12.75" customHeight="1" x14ac:dyDescent="0.2">
      <c r="A175" s="25">
        <v>0.7</v>
      </c>
      <c r="B175" s="40">
        <f t="shared" si="3"/>
        <v>218322.04416246974</v>
      </c>
      <c r="C175" s="74">
        <f t="shared" si="4"/>
        <v>8.2255175652572426E-2</v>
      </c>
      <c r="D175" s="100">
        <f t="shared" si="0"/>
        <v>0.43664408832493951</v>
      </c>
      <c r="E175" s="59">
        <f t="shared" si="1"/>
        <v>500000</v>
      </c>
      <c r="F175" s="101">
        <f t="shared" si="5"/>
        <v>218.3</v>
      </c>
      <c r="G175" s="59">
        <f t="shared" si="2"/>
        <v>-281677.95583753026</v>
      </c>
      <c r="H175" s="102">
        <f t="shared" si="6"/>
        <v>1.9140436230620117E-2</v>
      </c>
      <c r="I175" s="126">
        <f t="shared" si="7"/>
        <v>0.11750739378938919</v>
      </c>
      <c r="J175" s="89">
        <v>175</v>
      </c>
    </row>
    <row r="176" spans="1:14" ht="12.75" customHeight="1" x14ac:dyDescent="0.2">
      <c r="A176" s="25">
        <v>0.75</v>
      </c>
      <c r="B176" s="40">
        <f t="shared" si="3"/>
        <v>290996.52044487768</v>
      </c>
      <c r="C176" s="74">
        <f t="shared" si="4"/>
        <v>0.10749291721193756</v>
      </c>
      <c r="D176" s="100">
        <f t="shared" si="0"/>
        <v>0.58199304088975534</v>
      </c>
      <c r="E176" s="59">
        <f t="shared" si="1"/>
        <v>500000</v>
      </c>
      <c r="F176" s="101">
        <f t="shared" si="5"/>
        <v>291</v>
      </c>
      <c r="G176" s="59">
        <f t="shared" si="2"/>
        <v>-209003.47955512232</v>
      </c>
      <c r="H176" s="102">
        <f t="shared" si="6"/>
        <v>2.5237741559365132E-2</v>
      </c>
      <c r="I176" s="126">
        <f t="shared" si="7"/>
        <v>0.14332388961591674</v>
      </c>
      <c r="J176" s="89">
        <v>176</v>
      </c>
    </row>
    <row r="177" spans="1:10" ht="12.75" customHeight="1" x14ac:dyDescent="0.2">
      <c r="A177" s="25">
        <v>0.8</v>
      </c>
      <c r="B177" s="40">
        <f t="shared" si="3"/>
        <v>400726.08105934074</v>
      </c>
      <c r="C177" s="74">
        <f t="shared" si="4"/>
        <v>0.14167138996799722</v>
      </c>
      <c r="D177" s="100">
        <f t="shared" si="0"/>
        <v>0.80145216211868142</v>
      </c>
      <c r="E177" s="59">
        <f t="shared" si="1"/>
        <v>500000</v>
      </c>
      <c r="F177" s="101">
        <f t="shared" si="5"/>
        <v>400.7</v>
      </c>
      <c r="G177" s="59">
        <f t="shared" si="2"/>
        <v>-99273.918940659263</v>
      </c>
      <c r="H177" s="102">
        <f t="shared" si="6"/>
        <v>3.4178472756059661E-2</v>
      </c>
      <c r="I177" s="126">
        <f t="shared" si="7"/>
        <v>0.17708923745999652</v>
      </c>
      <c r="J177" s="89">
        <v>177</v>
      </c>
    </row>
    <row r="178" spans="1:10" ht="12.75" customHeight="1" x14ac:dyDescent="0.2">
      <c r="A178" s="25">
        <v>0.85</v>
      </c>
      <c r="B178" s="40">
        <f t="shared" si="3"/>
        <v>581865.01114537625</v>
      </c>
      <c r="C178" s="74">
        <f t="shared" si="4"/>
        <v>0.18996422537646993</v>
      </c>
      <c r="D178" s="100">
        <f t="shared" si="0"/>
        <v>1.1637300222907525</v>
      </c>
      <c r="E178" s="59">
        <f t="shared" si="1"/>
        <v>500000</v>
      </c>
      <c r="F178" s="101">
        <f t="shared" si="5"/>
        <v>581.9</v>
      </c>
      <c r="G178" s="59">
        <f t="shared" si="2"/>
        <v>81865.011145376251</v>
      </c>
      <c r="H178" s="102">
        <f t="shared" si="6"/>
        <v>4.8292835408472706E-2</v>
      </c>
      <c r="I178" s="126">
        <f t="shared" si="7"/>
        <v>0.22348732397231758</v>
      </c>
      <c r="J178" s="89">
        <v>178</v>
      </c>
    </row>
    <row r="179" spans="1:10" ht="12.75" customHeight="1" x14ac:dyDescent="0.2">
      <c r="A179" s="25">
        <v>0.9</v>
      </c>
      <c r="B179" s="40">
        <f t="shared" si="3"/>
        <v>930300.63573380106</v>
      </c>
      <c r="C179" s="74">
        <f t="shared" si="4"/>
        <v>0.26339622208536417</v>
      </c>
      <c r="D179" s="100">
        <f t="shared" si="0"/>
        <v>1.8606012714676021</v>
      </c>
      <c r="E179" s="59">
        <f t="shared" si="1"/>
        <v>500000</v>
      </c>
      <c r="F179" s="101">
        <f t="shared" si="5"/>
        <v>930.3</v>
      </c>
      <c r="G179" s="59">
        <f t="shared" si="2"/>
        <v>430300.63573380106</v>
      </c>
      <c r="H179" s="102">
        <f t="shared" si="6"/>
        <v>7.3431996708894248E-2</v>
      </c>
      <c r="I179" s="126">
        <f t="shared" si="7"/>
        <v>0.29266246898373799</v>
      </c>
      <c r="J179" s="89">
        <v>179</v>
      </c>
    </row>
    <row r="180" spans="1:10" ht="12.75" customHeight="1" x14ac:dyDescent="0.2">
      <c r="A180" s="25">
        <v>0.95</v>
      </c>
      <c r="B180" s="40">
        <f t="shared" si="3"/>
        <v>1865035.9655156368</v>
      </c>
      <c r="C180" s="74">
        <f t="shared" si="4"/>
        <v>0.39373096208475844</v>
      </c>
      <c r="D180" s="100">
        <f t="shared" si="0"/>
        <v>3.7300719310312735</v>
      </c>
      <c r="E180" s="59">
        <f t="shared" si="1"/>
        <v>500000</v>
      </c>
      <c r="F180" s="101">
        <f t="shared" si="5"/>
        <v>1865</v>
      </c>
      <c r="G180" s="59">
        <f t="shared" si="2"/>
        <v>1365035.9655156368</v>
      </c>
      <c r="H180" s="102">
        <f t="shared" si="6"/>
        <v>0.13033473999939427</v>
      </c>
      <c r="I180" s="126">
        <f t="shared" si="7"/>
        <v>0.41445364429974574</v>
      </c>
      <c r="J180" s="89">
        <v>180</v>
      </c>
    </row>
    <row r="181" spans="1:10" ht="12.75" customHeight="1" thickBot="1" x14ac:dyDescent="0.25">
      <c r="A181" s="103">
        <v>0.99509999999999998</v>
      </c>
      <c r="B181" s="45">
        <f t="shared" si="3"/>
        <v>11234134.278222</v>
      </c>
      <c r="C181" s="75">
        <v>1</v>
      </c>
      <c r="D181" s="104">
        <f t="shared" si="0"/>
        <v>22.468268556444002</v>
      </c>
      <c r="E181" s="60">
        <f t="shared" si="1"/>
        <v>500000</v>
      </c>
      <c r="F181" s="105">
        <f t="shared" si="5"/>
        <v>11234.1</v>
      </c>
      <c r="G181" s="60">
        <f t="shared" si="2"/>
        <v>10734134.278222</v>
      </c>
      <c r="H181" s="106">
        <f t="shared" si="6"/>
        <v>0.60626903791524156</v>
      </c>
      <c r="I181" s="126">
        <f t="shared" si="7"/>
        <v>1.0049241282283188</v>
      </c>
      <c r="J181" s="89">
        <v>181</v>
      </c>
    </row>
    <row r="182" spans="1:10" ht="12.75" customHeight="1" x14ac:dyDescent="0.2">
      <c r="A182" s="4" t="s">
        <v>101</v>
      </c>
      <c r="D182" s="5"/>
      <c r="E182" s="5"/>
      <c r="H182" s="88">
        <f>SUM(H161:H181)</f>
        <v>1</v>
      </c>
      <c r="I182" s="10" t="s">
        <v>57</v>
      </c>
      <c r="J182" s="89">
        <v>182</v>
      </c>
    </row>
    <row r="183" spans="1:10" ht="12.75" customHeight="1" x14ac:dyDescent="0.2">
      <c r="A183" s="107" t="str">
        <f>CHAR(COLUMN(B162)+64)&amp;ROW(B162)</f>
        <v>B162</v>
      </c>
      <c r="B183" s="108" t="str">
        <f ca="1">_xlfn.FORMULATEXT(B$162)</f>
        <v>=LOGNORM.INV(A162,C$259,C$262)</v>
      </c>
      <c r="F183" s="107" t="str">
        <f>CHAR(COLUMN(F162)+64)&amp;ROW(F162)</f>
        <v>F162</v>
      </c>
      <c r="G183" s="108" t="str">
        <f ca="1">_xlfn.FORMULATEXT(F$162)</f>
        <v>=ROUND(B162/1000,1)</v>
      </c>
      <c r="I183" s="5"/>
      <c r="J183" s="89">
        <v>183</v>
      </c>
    </row>
    <row r="184" spans="1:10" ht="12.75" customHeight="1" x14ac:dyDescent="0.2">
      <c r="A184" s="107" t="str">
        <f>CHAR(COLUMN(C162)+64)&amp;ROW(C162)</f>
        <v>C162</v>
      </c>
      <c r="B184" s="108" t="str">
        <f ca="1">_xlfn.FORMULATEXT(C$162)</f>
        <v>=LOGNORM.DIST(B162,G$259,G$262,1)</v>
      </c>
      <c r="F184" s="107" t="str">
        <f>CHAR(COLUMN(G162)+64)&amp;ROW(G162)</f>
        <v>G162</v>
      </c>
      <c r="G184" s="108" t="str">
        <f ca="1">_xlfn.FORMULATEXT(G$162)</f>
        <v>=B162-E162</v>
      </c>
      <c r="I184" s="5"/>
      <c r="J184" s="89">
        <v>184</v>
      </c>
    </row>
    <row r="185" spans="1:10" ht="12.75" customHeight="1" x14ac:dyDescent="0.2">
      <c r="A185" s="107" t="str">
        <f>CHAR(COLUMN(D162)+64)&amp;ROW(D162)</f>
        <v>D162</v>
      </c>
      <c r="B185" s="108" t="str">
        <f ca="1">_xlfn.FORMULATEXT(D$162)</f>
        <v>=B162/B$5</v>
      </c>
      <c r="D185" s="107" t="str">
        <f>CHAR(COLUMN(E162)+64)&amp;ROW(E162)</f>
        <v>E162</v>
      </c>
      <c r="E185" s="108" t="str">
        <f ca="1">_xlfn.FORMULATEXT(E$162)</f>
        <v>=B$5</v>
      </c>
      <c r="F185" s="107" t="str">
        <f>CHAR(COLUMN(H162)+64)&amp;ROW(H162)</f>
        <v>H162</v>
      </c>
      <c r="G185" s="108" t="str">
        <f ca="1">_xlfn.FORMULATEXT(H$162)</f>
        <v>=C162-C161</v>
      </c>
      <c r="I185" s="5"/>
      <c r="J185" s="89">
        <v>185</v>
      </c>
    </row>
    <row r="186" spans="1:10" ht="12.75" customHeight="1" x14ac:dyDescent="0.2">
      <c r="I186" s="5"/>
      <c r="J186" s="89">
        <v>186</v>
      </c>
    </row>
    <row r="187" spans="1:10" ht="12.75" customHeight="1" x14ac:dyDescent="0.2">
      <c r="A187" s="4" t="s">
        <v>16</v>
      </c>
      <c r="B187" s="14"/>
      <c r="D187" s="5"/>
      <c r="E187" s="5"/>
      <c r="I187" s="5"/>
      <c r="J187" s="89">
        <v>187</v>
      </c>
    </row>
    <row r="188" spans="1:10" ht="12.75" customHeight="1" x14ac:dyDescent="0.2">
      <c r="A188" s="61" t="str">
        <f>CHAR(COLUMN(C171)+64) &amp;ROW(C171)</f>
        <v>C171</v>
      </c>
      <c r="B188" s="10" t="str">
        <f>"The bottom "&amp;A171*100&amp;"% of households have "&amp;ROUND(C171*100,1)&amp;"% of the total income."</f>
        <v>The bottom 50% of households have 2.8% of the total income.</v>
      </c>
      <c r="C188" s="36"/>
      <c r="D188" s="5"/>
      <c r="E188" s="5"/>
      <c r="G188" s="14"/>
      <c r="H188" s="36"/>
      <c r="I188" s="5"/>
      <c r="J188" s="89">
        <v>188</v>
      </c>
    </row>
    <row r="189" spans="1:10" ht="12.75" customHeight="1" x14ac:dyDescent="0.2">
      <c r="A189" s="61"/>
      <c r="B189" s="10" t="str">
        <f>"The bottom "&amp;A171*100&amp;"% of households have "&amp;ROUND((C171/A171)*100,1)&amp;"% of their equal share of total income."</f>
        <v>The bottom 50% of households have 5.6% of their equal share of total income.</v>
      </c>
      <c r="D189" s="5"/>
      <c r="E189" s="5"/>
      <c r="G189" s="14"/>
      <c r="H189" s="36"/>
      <c r="I189" s="5"/>
      <c r="J189" s="89">
        <v>189</v>
      </c>
    </row>
    <row r="190" spans="1:10" ht="12.75" customHeight="1" x14ac:dyDescent="0.2">
      <c r="E190" s="5"/>
      <c r="G190" s="14"/>
      <c r="H190" s="36"/>
      <c r="I190" s="5"/>
      <c r="J190" s="89">
        <v>190</v>
      </c>
    </row>
    <row r="191" spans="1:10" ht="12.75" customHeight="1" x14ac:dyDescent="0.2">
      <c r="A191" s="4" t="s">
        <v>97</v>
      </c>
      <c r="B191" s="94" t="s">
        <v>98</v>
      </c>
      <c r="D191" s="5"/>
      <c r="E191" s="5"/>
      <c r="G191" s="14"/>
      <c r="H191" s="36"/>
      <c r="I191" s="5"/>
      <c r="J191" s="89">
        <v>191</v>
      </c>
    </row>
    <row r="192" spans="1:10" ht="12.75" customHeight="1" x14ac:dyDescent="0.2">
      <c r="A192" s="48"/>
      <c r="B192" s="94" t="s">
        <v>99</v>
      </c>
      <c r="C192" s="1"/>
      <c r="D192" s="5"/>
      <c r="E192" s="5"/>
      <c r="G192" s="14"/>
      <c r="H192" s="36"/>
      <c r="J192" s="89">
        <v>192</v>
      </c>
    </row>
    <row r="193" spans="1:10" ht="12.75" customHeight="1" x14ac:dyDescent="0.2">
      <c r="D193" s="5"/>
      <c r="E193" s="5"/>
      <c r="G193" s="14"/>
      <c r="H193" s="36"/>
      <c r="I193" s="5"/>
      <c r="J193" s="89">
        <v>193</v>
      </c>
    </row>
    <row r="194" spans="1:10" ht="12.75" customHeight="1" x14ac:dyDescent="0.2">
      <c r="A194" s="48">
        <f>1 - _xlfn.LOGNORM.DIST($B$5,$C$259,$C$262,1)</f>
        <v>0.16922539674145276</v>
      </c>
      <c r="B194" s="11" t="s">
        <v>50</v>
      </c>
      <c r="D194" s="5"/>
      <c r="E194" s="5"/>
      <c r="G194" s="14"/>
      <c r="H194" s="36"/>
      <c r="I194" s="5"/>
      <c r="J194" s="89">
        <v>194</v>
      </c>
    </row>
    <row r="195" spans="1:10" ht="12.75" customHeight="1" x14ac:dyDescent="0.2">
      <c r="A195" s="48">
        <f>1 - _xlfn.LOGNORM.DIST($B$5,$G$259,$G$262,1)</f>
        <v>0.83077460325854724</v>
      </c>
      <c r="B195" s="11" t="s">
        <v>35</v>
      </c>
      <c r="H195" s="36"/>
      <c r="I195" s="5"/>
      <c r="J195" s="89">
        <v>195</v>
      </c>
    </row>
    <row r="196" spans="1:10" ht="12.75" customHeight="1" x14ac:dyDescent="0.2">
      <c r="B196" s="107" t="str">
        <f>CHAR(COLUMN(A194)+64)&amp;ROW(A194)</f>
        <v>A194</v>
      </c>
      <c r="C196" t="str">
        <f ca="1">_xlfn.FORMULATEXT(A194)</f>
        <v>=1 - LOGNORM.DIST($B$5,$C$259,$C$262,1)</v>
      </c>
      <c r="D196" s="36"/>
      <c r="E196" s="5"/>
      <c r="G196" s="14"/>
      <c r="I196" s="5"/>
      <c r="J196" s="89">
        <v>196</v>
      </c>
    </row>
    <row r="197" spans="1:10" ht="12.75" customHeight="1" x14ac:dyDescent="0.2">
      <c r="B197" s="107" t="str">
        <f>CHAR(COLUMN(A195)+64)&amp;ROW(A195)</f>
        <v>A195</v>
      </c>
      <c r="C197" t="str">
        <f ca="1">_xlfn.FORMULATEXT(A195)</f>
        <v>=1 - LOGNORM.DIST($B$5,$G$259,$G$262,1)</v>
      </c>
      <c r="D197" s="36"/>
      <c r="E197" s="5"/>
      <c r="G197" s="14"/>
      <c r="H197" s="36"/>
      <c r="I197" s="5"/>
      <c r="J197" s="89">
        <v>197</v>
      </c>
    </row>
    <row r="198" spans="1:10" ht="12.75" customHeight="1" x14ac:dyDescent="0.2">
      <c r="D198" s="5"/>
      <c r="I198" s="5"/>
      <c r="J198" s="89">
        <v>198</v>
      </c>
    </row>
    <row r="199" spans="1:10" ht="12.75" customHeight="1" x14ac:dyDescent="0.2">
      <c r="B199" s="55" t="s">
        <v>36</v>
      </c>
      <c r="C199" s="36"/>
      <c r="D199" s="5"/>
      <c r="E199" s="5"/>
      <c r="G199" s="14"/>
      <c r="H199" s="36"/>
      <c r="J199" s="89">
        <v>199</v>
      </c>
    </row>
    <row r="200" spans="1:10" ht="12.75" customHeight="1" x14ac:dyDescent="0.2">
      <c r="A200" s="48">
        <f>A195-A194</f>
        <v>0.66154920651709448</v>
      </c>
      <c r="B200" s="11" t="s">
        <v>51</v>
      </c>
      <c r="C200" s="36"/>
      <c r="D200" s="5"/>
      <c r="E200" s="5"/>
      <c r="G200" s="14"/>
      <c r="H200" s="36"/>
      <c r="I200" s="5"/>
      <c r="J200" s="89">
        <v>200</v>
      </c>
    </row>
    <row r="201" spans="1:10" ht="12.75" customHeight="1" x14ac:dyDescent="0.2">
      <c r="B201" s="107" t="str">
        <f>CHAR(COLUMN(A200)+64)&amp;ROW(A200)</f>
        <v>A200</v>
      </c>
      <c r="C201" t="str">
        <f ca="1">_xlfn.FORMULATEXT(A200)</f>
        <v>=A195-A194</v>
      </c>
      <c r="E201" s="5"/>
      <c r="G201" s="14"/>
      <c r="H201" s="36"/>
      <c r="I201" s="5"/>
      <c r="J201" s="89">
        <v>201</v>
      </c>
    </row>
    <row r="202" spans="1:10" ht="12.75" customHeight="1" x14ac:dyDescent="0.2">
      <c r="B202" s="11"/>
      <c r="C202" s="36"/>
      <c r="D202" s="5"/>
      <c r="E202" s="5"/>
      <c r="G202" s="14"/>
      <c r="H202" s="36"/>
      <c r="I202" s="5"/>
      <c r="J202" s="89">
        <v>202</v>
      </c>
    </row>
    <row r="203" spans="1:10" ht="12.75" customHeight="1" x14ac:dyDescent="0.2">
      <c r="A203" s="11" t="s">
        <v>33</v>
      </c>
      <c r="B203" s="11"/>
      <c r="C203" s="36"/>
      <c r="D203" s="5"/>
      <c r="E203" s="5"/>
      <c r="G203" s="14"/>
      <c r="H203" s="36"/>
      <c r="I203" s="5"/>
      <c r="J203" s="89">
        <v>203</v>
      </c>
    </row>
    <row r="204" spans="1:10" ht="12.75" customHeight="1" x14ac:dyDescent="0.2">
      <c r="A204" s="11" t="s">
        <v>34</v>
      </c>
      <c r="C204" s="36"/>
      <c r="D204" s="5"/>
      <c r="E204" s="5"/>
      <c r="G204" s="14"/>
      <c r="H204" s="36"/>
      <c r="I204" s="5"/>
      <c r="J204" s="89">
        <v>204</v>
      </c>
    </row>
    <row r="205" spans="1:10" ht="12.75" customHeight="1" x14ac:dyDescent="0.2">
      <c r="A205" s="62" t="s">
        <v>23</v>
      </c>
      <c r="B205" s="63" t="s">
        <v>24</v>
      </c>
      <c r="C205" s="24" t="s">
        <v>25</v>
      </c>
      <c r="D205" s="64" t="s">
        <v>26</v>
      </c>
      <c r="E205" s="63" t="s">
        <v>27</v>
      </c>
      <c r="F205" s="63" t="s">
        <v>28</v>
      </c>
      <c r="G205" s="63" t="s">
        <v>29</v>
      </c>
      <c r="H205" s="63" t="s">
        <v>30</v>
      </c>
      <c r="I205" s="63"/>
      <c r="J205" s="89">
        <v>205</v>
      </c>
    </row>
    <row r="206" spans="1:10" ht="12.75" customHeight="1" x14ac:dyDescent="0.2">
      <c r="E206" s="19" t="s">
        <v>48</v>
      </c>
      <c r="J206" s="89">
        <v>206</v>
      </c>
    </row>
    <row r="207" spans="1:10" ht="12.75" customHeight="1" x14ac:dyDescent="0.2">
      <c r="A207" s="71" t="s">
        <v>38</v>
      </c>
      <c r="E207" s="11" t="s">
        <v>9</v>
      </c>
      <c r="J207" s="89">
        <v>207</v>
      </c>
    </row>
    <row r="208" spans="1:10" ht="12.75" customHeight="1" x14ac:dyDescent="0.2">
      <c r="A208" s="14" t="s">
        <v>42</v>
      </c>
      <c r="B208" s="39"/>
      <c r="C208" s="9" t="s">
        <v>43</v>
      </c>
      <c r="D208" s="38" t="s">
        <v>44</v>
      </c>
      <c r="E208" s="9" t="s">
        <v>39</v>
      </c>
      <c r="J208" s="89">
        <v>208</v>
      </c>
    </row>
    <row r="209" spans="1:10" ht="12.75" customHeight="1" thickBot="1" x14ac:dyDescent="0.25">
      <c r="A209" s="17" t="s">
        <v>17</v>
      </c>
      <c r="B209" s="17" t="s">
        <v>4</v>
      </c>
      <c r="C209" s="17" t="s">
        <v>41</v>
      </c>
      <c r="D209" s="9" t="s">
        <v>46</v>
      </c>
      <c r="E209" s="72" t="s">
        <v>40</v>
      </c>
      <c r="J209" s="89">
        <v>209</v>
      </c>
    </row>
    <row r="210" spans="1:10" ht="12.75" customHeight="1" x14ac:dyDescent="0.2">
      <c r="A210" s="27">
        <v>0.5</v>
      </c>
      <c r="B210" s="44">
        <f t="shared" ref="B210:B230" si="8">_xlfn.LOGNORM.INV(1-A210,C$259,C$262)</f>
        <v>79999.999999999942</v>
      </c>
      <c r="C210" s="58">
        <f t="shared" ref="C210:C230" si="9">1-_xlfn.LOGNORM.DIST(B210,G$259,G$262,1)</f>
        <v>0.97221939458221318</v>
      </c>
      <c r="D210" s="79">
        <f>C210-A210</f>
        <v>0.47221939458221318</v>
      </c>
      <c r="E210" s="76">
        <f>C210/A210</f>
        <v>1.9444387891644264</v>
      </c>
      <c r="F210" s="107" t="str">
        <f t="shared" ref="F210" si="10">CHAR(COLUMN(B$210)+64)&amp;ROW(B$210)</f>
        <v>B210</v>
      </c>
      <c r="G210" s="90" t="str">
        <f ca="1">_xlfn.FORMULATEXT(B210)</f>
        <v>=LOGNORM.INV(1-A210,C$259,C$262)</v>
      </c>
      <c r="J210" s="89">
        <v>210</v>
      </c>
    </row>
    <row r="211" spans="1:10" ht="12.75" customHeight="1" x14ac:dyDescent="0.2">
      <c r="A211" s="25">
        <v>0.45</v>
      </c>
      <c r="B211" s="40">
        <f t="shared" si="8"/>
        <v>101758.30557888575</v>
      </c>
      <c r="C211" s="56">
        <f t="shared" si="9"/>
        <v>0.96317649880807765</v>
      </c>
      <c r="D211" s="74">
        <f t="shared" ref="D211:D230" si="11">C211-A211</f>
        <v>0.51317649880807759</v>
      </c>
      <c r="E211" s="77">
        <f t="shared" ref="E211:E230" si="12">C211/A211</f>
        <v>2.1403922195735059</v>
      </c>
      <c r="F211" s="107" t="str">
        <f>CHAR(COLUMN(C$210)+64)&amp;ROW(C$210)</f>
        <v>C210</v>
      </c>
      <c r="G211" s="11" t="s">
        <v>100</v>
      </c>
      <c r="J211" s="89">
        <v>211</v>
      </c>
    </row>
    <row r="212" spans="1:10" ht="12.75" customHeight="1" x14ac:dyDescent="0.2">
      <c r="A212" s="25">
        <v>0.4</v>
      </c>
      <c r="B212" s="40">
        <f t="shared" si="8"/>
        <v>129937.02576368839</v>
      </c>
      <c r="C212" s="56">
        <f t="shared" si="9"/>
        <v>0.95165476565296503</v>
      </c>
      <c r="D212" s="74">
        <f t="shared" si="11"/>
        <v>0.55165476565296501</v>
      </c>
      <c r="E212" s="77">
        <f t="shared" si="12"/>
        <v>2.3791369141324124</v>
      </c>
      <c r="I212" s="110" t="str">
        <f ca="1">_xlfn.FORMULATEXT(C210)</f>
        <v>=1-LOGNORM.DIST(B210,G$259,G$262,1)</v>
      </c>
      <c r="J212" s="89">
        <v>212</v>
      </c>
    </row>
    <row r="213" spans="1:10" ht="12.75" customHeight="1" x14ac:dyDescent="0.2">
      <c r="A213" s="25">
        <v>0.35</v>
      </c>
      <c r="B213" s="40">
        <f t="shared" si="8"/>
        <v>167286.48840899268</v>
      </c>
      <c r="C213" s="56">
        <f t="shared" si="9"/>
        <v>0.93688526057804766</v>
      </c>
      <c r="D213" s="74">
        <f t="shared" si="11"/>
        <v>0.58688526057804768</v>
      </c>
      <c r="E213" s="77">
        <f t="shared" si="12"/>
        <v>2.6768150302229934</v>
      </c>
      <c r="F213" s="107" t="str">
        <f>CHAR(COLUMN(D$210)+64)&amp;ROW(D$210)</f>
        <v>D210</v>
      </c>
      <c r="G213" t="str">
        <f ca="1">_xlfn.FORMULATEXT(D210)</f>
        <v>=C210-A210</v>
      </c>
      <c r="J213" s="89">
        <v>213</v>
      </c>
    </row>
    <row r="214" spans="1:10" ht="12.75" customHeight="1" x14ac:dyDescent="0.2">
      <c r="A214" s="25">
        <v>0.3</v>
      </c>
      <c r="B214" s="40">
        <f t="shared" si="8"/>
        <v>218322.04416246974</v>
      </c>
      <c r="C214" s="56">
        <f t="shared" si="9"/>
        <v>0.91774482434742755</v>
      </c>
      <c r="D214" s="74">
        <f t="shared" si="11"/>
        <v>0.6177448243474275</v>
      </c>
      <c r="E214" s="77">
        <f t="shared" si="12"/>
        <v>3.0591494144914253</v>
      </c>
      <c r="F214" s="107" t="str">
        <f>CHAR(COLUMN(E$210)+64)&amp;ROW(E$210)</f>
        <v>E210</v>
      </c>
      <c r="G214" t="str">
        <f ca="1">_xlfn.FORMULATEXT(E210)</f>
        <v>=C210/A210</v>
      </c>
      <c r="J214" s="89">
        <v>214</v>
      </c>
    </row>
    <row r="215" spans="1:10" ht="12.75" customHeight="1" x14ac:dyDescent="0.2">
      <c r="A215" s="25">
        <v>0.25</v>
      </c>
      <c r="B215" s="40">
        <f t="shared" si="8"/>
        <v>290996.52044487768</v>
      </c>
      <c r="C215" s="56">
        <f t="shared" si="9"/>
        <v>0.89250708278806246</v>
      </c>
      <c r="D215" s="74">
        <f t="shared" si="11"/>
        <v>0.64250708278806246</v>
      </c>
      <c r="E215" s="77">
        <f t="shared" ref="E215:E229" si="13">C215/A215</f>
        <v>3.5700283311522498</v>
      </c>
      <c r="J215" s="89">
        <v>215</v>
      </c>
    </row>
    <row r="216" spans="1:10" ht="12.75" customHeight="1" x14ac:dyDescent="0.2">
      <c r="A216" s="25">
        <v>0.2</v>
      </c>
      <c r="B216" s="40">
        <f t="shared" si="8"/>
        <v>400726.08105934074</v>
      </c>
      <c r="C216" s="56">
        <f t="shared" si="9"/>
        <v>0.85832861003200278</v>
      </c>
      <c r="D216" s="74">
        <f t="shared" si="11"/>
        <v>0.65832861003200271</v>
      </c>
      <c r="E216" s="77">
        <f t="shared" si="13"/>
        <v>4.2916430501600136</v>
      </c>
      <c r="J216" s="89">
        <v>216</v>
      </c>
    </row>
    <row r="217" spans="1:10" ht="12.75" customHeight="1" x14ac:dyDescent="0.2">
      <c r="A217" s="25">
        <v>0.15</v>
      </c>
      <c r="B217" s="40">
        <f t="shared" si="8"/>
        <v>581865.01114537625</v>
      </c>
      <c r="C217" s="56">
        <f t="shared" si="9"/>
        <v>0.81003577462353005</v>
      </c>
      <c r="D217" s="74">
        <f t="shared" si="11"/>
        <v>0.66003577462353002</v>
      </c>
      <c r="E217" s="77">
        <f t="shared" si="13"/>
        <v>5.4002384974902009</v>
      </c>
      <c r="J217" s="89">
        <v>217</v>
      </c>
    </row>
    <row r="218" spans="1:10" ht="12.75" customHeight="1" x14ac:dyDescent="0.2">
      <c r="A218" s="25">
        <v>0.1</v>
      </c>
      <c r="B218" s="40">
        <f t="shared" si="8"/>
        <v>930300.63573380106</v>
      </c>
      <c r="C218" s="56">
        <f t="shared" si="9"/>
        <v>0.73660377791463583</v>
      </c>
      <c r="D218" s="74">
        <f t="shared" si="11"/>
        <v>0.63660377791463585</v>
      </c>
      <c r="E218" s="77">
        <f t="shared" si="13"/>
        <v>7.3660377791463576</v>
      </c>
      <c r="J218" s="89">
        <v>218</v>
      </c>
    </row>
    <row r="219" spans="1:10" ht="12.75" customHeight="1" x14ac:dyDescent="0.2">
      <c r="A219" s="25">
        <v>0.05</v>
      </c>
      <c r="B219" s="40">
        <f t="shared" si="8"/>
        <v>1865035.9655156368</v>
      </c>
      <c r="C219" s="56">
        <f t="shared" si="9"/>
        <v>0.60626903791524156</v>
      </c>
      <c r="D219" s="115">
        <f t="shared" si="11"/>
        <v>0.55626903791524152</v>
      </c>
      <c r="E219" s="77">
        <f t="shared" si="13"/>
        <v>12.12538075830483</v>
      </c>
      <c r="J219" s="89">
        <v>219</v>
      </c>
    </row>
    <row r="220" spans="1:10" ht="12.75" customHeight="1" x14ac:dyDescent="0.2">
      <c r="A220" s="25">
        <v>0.02</v>
      </c>
      <c r="B220" s="40">
        <f t="shared" si="8"/>
        <v>4079990.358848515</v>
      </c>
      <c r="C220" s="56">
        <f t="shared" si="9"/>
        <v>0.44461152842937213</v>
      </c>
      <c r="D220" s="115">
        <f t="shared" si="11"/>
        <v>0.42461152842937211</v>
      </c>
      <c r="E220" s="77">
        <f t="shared" si="13"/>
        <v>22.230576421468605</v>
      </c>
      <c r="F220" s="61" t="str">
        <f>CHAR(COLUMN(A221)+64) &amp;ROW(A221)</f>
        <v>A221</v>
      </c>
      <c r="G220" s="10" t="str">
        <f>"The top "&amp;A$221*100&amp;"% of households have "</f>
        <v xml:space="preserve">The top 1% of households have </v>
      </c>
      <c r="J220" s="89">
        <v>220</v>
      </c>
    </row>
    <row r="221" spans="1:10" ht="12.75" customHeight="1" x14ac:dyDescent="0.2">
      <c r="A221" s="25">
        <v>0.01</v>
      </c>
      <c r="B221" s="40">
        <f t="shared" si="8"/>
        <v>6875572.084344374</v>
      </c>
      <c r="C221" s="56">
        <f t="shared" si="9"/>
        <v>0.34021136311956401</v>
      </c>
      <c r="D221" s="115">
        <f t="shared" si="11"/>
        <v>0.33021136311956401</v>
      </c>
      <c r="E221" s="77">
        <f t="shared" si="13"/>
        <v>34.021136311956404</v>
      </c>
      <c r="F221" s="61" t="str">
        <f>CHAR(COLUMN(C221)+64) &amp;ROW(C221)</f>
        <v>C221</v>
      </c>
      <c r="G221" s="10" t="str">
        <f>"   "&amp;ROUND(C221*100,1)&amp;"% of the total income"</f>
        <v xml:space="preserve">   34% of the total income</v>
      </c>
      <c r="J221" s="89">
        <v>221</v>
      </c>
    </row>
    <row r="222" spans="1:10" ht="12.75" customHeight="1" x14ac:dyDescent="0.2">
      <c r="A222" s="26">
        <v>5.0000000000000001E-3</v>
      </c>
      <c r="B222" s="40">
        <f t="shared" si="8"/>
        <v>11085051.069563909</v>
      </c>
      <c r="C222" s="80">
        <f t="shared" si="9"/>
        <v>0.25418824194361067</v>
      </c>
      <c r="D222" s="115">
        <f t="shared" si="11"/>
        <v>0.24918824194361067</v>
      </c>
      <c r="E222" s="77">
        <f t="shared" si="13"/>
        <v>50.83764838872213</v>
      </c>
      <c r="J222" s="89">
        <v>222</v>
      </c>
    </row>
    <row r="223" spans="1:10" ht="12.75" customHeight="1" x14ac:dyDescent="0.2">
      <c r="A223" s="26">
        <v>2E-3</v>
      </c>
      <c r="B223" s="40">
        <f t="shared" si="8"/>
        <v>19774658.920804244</v>
      </c>
      <c r="C223" s="80">
        <f t="shared" si="9"/>
        <v>0.16759812327805623</v>
      </c>
      <c r="D223" s="116">
        <f t="shared" si="11"/>
        <v>0.16559812327805623</v>
      </c>
      <c r="E223" s="77">
        <f t="shared" si="13"/>
        <v>83.79906163902811</v>
      </c>
      <c r="F223" s="61" t="str">
        <f>CHAR(COLUMN(A221)+64) &amp;ROW(A221)</f>
        <v>A221</v>
      </c>
      <c r="G223" s="10" t="str">
        <f>"The top "&amp;A$221*100&amp;"% of households have "</f>
        <v xml:space="preserve">The top 1% of households have </v>
      </c>
      <c r="J223" s="89">
        <v>223</v>
      </c>
    </row>
    <row r="224" spans="1:10" ht="12.75" customHeight="1" x14ac:dyDescent="0.2">
      <c r="A224" s="26">
        <v>1E-3</v>
      </c>
      <c r="B224" s="40">
        <f t="shared" si="8"/>
        <v>29677886.511201914</v>
      </c>
      <c r="C224" s="80">
        <f t="shared" si="9"/>
        <v>0.11984324250108058</v>
      </c>
      <c r="D224" s="116">
        <f t="shared" si="11"/>
        <v>0.11884324250108058</v>
      </c>
      <c r="E224" s="77">
        <f t="shared" si="13"/>
        <v>119.84324250108058</v>
      </c>
      <c r="F224" s="61" t="str">
        <f>CHAR(COLUMN(E221)+64) &amp;ROW(E221)</f>
        <v>E221</v>
      </c>
      <c r="G224" s="10" t="str">
        <f>"   "&amp;ROUND(E221,1)&amp;" times their equal share"</f>
        <v xml:space="preserve">   34 times their equal share</v>
      </c>
      <c r="J224" s="89">
        <v>224</v>
      </c>
    </row>
    <row r="225" spans="1:10" ht="12.75" customHeight="1" x14ac:dyDescent="0.2">
      <c r="A225" s="35">
        <v>5.0000000000000001E-4</v>
      </c>
      <c r="B225" s="40">
        <f t="shared" si="8"/>
        <v>43547756.103166893</v>
      </c>
      <c r="C225" s="112">
        <f t="shared" si="9"/>
        <v>8.4400723044598669E-2</v>
      </c>
      <c r="D225" s="116">
        <f t="shared" si="11"/>
        <v>8.3900723044598668E-2</v>
      </c>
      <c r="E225" s="77">
        <f t="shared" si="13"/>
        <v>168.80144608919733</v>
      </c>
      <c r="G225" s="10" t="str">
        <f>"   of total income"</f>
        <v xml:space="preserve">   of total income</v>
      </c>
      <c r="J225" s="89">
        <v>225</v>
      </c>
    </row>
    <row r="226" spans="1:10" ht="12.75" customHeight="1" x14ac:dyDescent="0.2">
      <c r="A226" s="35">
        <v>2.0000000000000001E-4</v>
      </c>
      <c r="B226" s="40">
        <f t="shared" si="8"/>
        <v>70219467.091266721</v>
      </c>
      <c r="C226" s="112">
        <f t="shared" si="9"/>
        <v>5.201501682190024E-2</v>
      </c>
      <c r="D226" s="117">
        <f t="shared" si="11"/>
        <v>5.1815016821900241E-2</v>
      </c>
      <c r="E226" s="77">
        <f t="shared" si="13"/>
        <v>260.07508410950118</v>
      </c>
      <c r="J226" s="89">
        <v>226</v>
      </c>
    </row>
    <row r="227" spans="1:10" ht="12.75" customHeight="1" x14ac:dyDescent="0.2">
      <c r="A227" s="35">
        <v>1E-4</v>
      </c>
      <c r="B227" s="40">
        <f t="shared" si="8"/>
        <v>98907525.21068266</v>
      </c>
      <c r="C227" s="112">
        <f t="shared" si="9"/>
        <v>3.5572175641664039E-2</v>
      </c>
      <c r="D227" s="117">
        <f t="shared" si="11"/>
        <v>3.5472175641664036E-2</v>
      </c>
      <c r="E227" s="77">
        <f t="shared" si="13"/>
        <v>355.72175641664035</v>
      </c>
      <c r="J227" s="89">
        <v>227</v>
      </c>
    </row>
    <row r="228" spans="1:10" ht="12.75" customHeight="1" x14ac:dyDescent="0.2">
      <c r="A228" s="33">
        <v>5.0000000000000002E-5</v>
      </c>
      <c r="B228" s="40">
        <f t="shared" si="8"/>
        <v>137367501.6895476</v>
      </c>
      <c r="C228" s="113">
        <f t="shared" si="9"/>
        <v>2.4070007212641409E-2</v>
      </c>
      <c r="D228" s="117">
        <f t="shared" si="11"/>
        <v>2.4020007212641407E-2</v>
      </c>
      <c r="E228" s="77">
        <f t="shared" si="13"/>
        <v>481.40014425282817</v>
      </c>
      <c r="J228" s="89">
        <v>228</v>
      </c>
    </row>
    <row r="229" spans="1:10" ht="12.75" customHeight="1" x14ac:dyDescent="0.2">
      <c r="A229" s="33">
        <v>2.0000000000000002E-5</v>
      </c>
      <c r="B229" s="40">
        <f t="shared" si="8"/>
        <v>208071779.86509487</v>
      </c>
      <c r="C229" s="113">
        <f t="shared" si="9"/>
        <v>1.415303642381871E-2</v>
      </c>
      <c r="D229" s="118">
        <f t="shared" si="11"/>
        <v>1.4133036423818711E-2</v>
      </c>
      <c r="E229" s="77">
        <f t="shared" si="13"/>
        <v>707.65182119093549</v>
      </c>
      <c r="J229" s="89">
        <v>229</v>
      </c>
    </row>
    <row r="230" spans="1:10" ht="12.75" customHeight="1" thickBot="1" x14ac:dyDescent="0.25">
      <c r="A230" s="34">
        <v>1.0000000000000001E-5</v>
      </c>
      <c r="B230" s="45">
        <f t="shared" si="8"/>
        <v>281249080.84639579</v>
      </c>
      <c r="C230" s="114">
        <f t="shared" si="9"/>
        <v>9.3758855743322211E-3</v>
      </c>
      <c r="D230" s="119">
        <f t="shared" si="11"/>
        <v>9.3658855743322215E-3</v>
      </c>
      <c r="E230" s="78">
        <f t="shared" si="12"/>
        <v>937.58855743322204</v>
      </c>
      <c r="J230" s="89">
        <v>230</v>
      </c>
    </row>
    <row r="231" spans="1:10" ht="12.75" customHeight="1" x14ac:dyDescent="0.2">
      <c r="J231" s="89">
        <v>231</v>
      </c>
    </row>
    <row r="232" spans="1:10" ht="12.75" customHeight="1" x14ac:dyDescent="0.2">
      <c r="A232" s="62" t="s">
        <v>23</v>
      </c>
      <c r="B232" s="63" t="s">
        <v>24</v>
      </c>
      <c r="C232" s="24" t="s">
        <v>25</v>
      </c>
      <c r="D232" s="64" t="s">
        <v>26</v>
      </c>
      <c r="E232" s="63" t="s">
        <v>27</v>
      </c>
      <c r="F232" s="63" t="s">
        <v>28</v>
      </c>
      <c r="G232" s="63" t="s">
        <v>29</v>
      </c>
      <c r="H232" s="63" t="s">
        <v>30</v>
      </c>
      <c r="I232" s="63"/>
      <c r="J232" s="89">
        <v>232</v>
      </c>
    </row>
    <row r="233" spans="1:10" ht="12.75" customHeight="1" x14ac:dyDescent="0.2">
      <c r="A233" s="9" t="s">
        <v>44</v>
      </c>
      <c r="C233" s="53" t="s">
        <v>44</v>
      </c>
      <c r="D233" s="54"/>
      <c r="J233" s="89">
        <v>233</v>
      </c>
    </row>
    <row r="234" spans="1:10" ht="12.75" customHeight="1" thickBot="1" x14ac:dyDescent="0.25">
      <c r="A234" s="19" t="s">
        <v>21</v>
      </c>
      <c r="B234" s="9" t="s">
        <v>10</v>
      </c>
      <c r="C234" s="9" t="s">
        <v>49</v>
      </c>
      <c r="D234" s="83" t="s">
        <v>52</v>
      </c>
      <c r="E234" s="12" t="s">
        <v>102</v>
      </c>
      <c r="F234" s="11" t="s">
        <v>103</v>
      </c>
      <c r="J234" s="89">
        <v>234</v>
      </c>
    </row>
    <row r="235" spans="1:10" ht="12.75" customHeight="1" x14ac:dyDescent="0.2">
      <c r="A235" s="57">
        <f>A194</f>
        <v>0.16922539674145276</v>
      </c>
      <c r="B235" s="44">
        <f>_xlfn.LOGNORM.INV(1-A235,C$259,C$262)</f>
        <v>499999.99999999971</v>
      </c>
      <c r="C235" s="58">
        <f>((1-_xlfn.LOGNORM.DIST(B235,G$259,G$262,1))-A235) / ((1-_xlfn.LOGNORM.DIST(B$235,G$259,G$262,1))-A$235)</f>
        <v>1</v>
      </c>
      <c r="D235" s="84">
        <f t="shared" ref="D235:D244" si="14">A235/A$235</f>
        <v>1</v>
      </c>
      <c r="E235" s="107" t="str">
        <f>CHAR(COLUMN(A$235)+64)&amp;ROW(A$235)</f>
        <v>A235</v>
      </c>
      <c r="F235" t="str">
        <f ca="1">_xlfn.FORMULATEXT(A235)</f>
        <v>=A194</v>
      </c>
      <c r="J235" s="89">
        <v>235</v>
      </c>
    </row>
    <row r="236" spans="1:10" ht="12.75" customHeight="1" x14ac:dyDescent="0.2">
      <c r="A236" s="25">
        <v>0.2</v>
      </c>
      <c r="B236" s="40">
        <f t="shared" ref="B236:B241" si="15">+B217</f>
        <v>581865.01114537625</v>
      </c>
      <c r="C236" s="56">
        <f t="shared" ref="C236:C244" si="16">((1-_xlfn.LOGNORM.DIST(B236,G$259,G$262,1))-A236)/((1-_xlfn.LOGNORM.DIST(B$235,G$259,G$262,1))-A$235)</f>
        <v>0.92213212352748353</v>
      </c>
      <c r="D236" s="85">
        <f t="shared" si="14"/>
        <v>1.1818557016330447</v>
      </c>
      <c r="E236" s="107" t="str">
        <f>CHAR(COLUMN(B$235)+64)&amp;ROW(B$235)</f>
        <v>B235</v>
      </c>
      <c r="F236" t="str">
        <f ca="1">_xlfn.FORMULATEXT(B235)</f>
        <v>=LOGNORM.INV(1-A235,C$259,C$262)</v>
      </c>
      <c r="J236" s="89">
        <v>236</v>
      </c>
    </row>
    <row r="237" spans="1:10" ht="12.75" customHeight="1" x14ac:dyDescent="0.2">
      <c r="A237" s="25">
        <v>0.15</v>
      </c>
      <c r="B237" s="40">
        <f t="shared" si="15"/>
        <v>930300.63573380106</v>
      </c>
      <c r="C237" s="56">
        <f t="shared" si="16"/>
        <v>0.88671223869040783</v>
      </c>
      <c r="D237" s="85">
        <f t="shared" si="14"/>
        <v>0.88639177622478349</v>
      </c>
      <c r="E237" s="107" t="str">
        <f>CHAR(COLUMN(C$235)+64)&amp;ROW(C$235)</f>
        <v>C235</v>
      </c>
      <c r="I237" s="109" t="str">
        <f ca="1">LEFT(_xlfn.FORMULATEXT(C235),45)</f>
        <v xml:space="preserve">=((1-LOGNORM.DIST(B235,G$259,G$262,1))-A235) </v>
      </c>
      <c r="J237" s="89">
        <v>237</v>
      </c>
    </row>
    <row r="238" spans="1:10" ht="12.75" customHeight="1" x14ac:dyDescent="0.2">
      <c r="A238" s="25">
        <v>0.1</v>
      </c>
      <c r="B238" s="40">
        <f t="shared" si="15"/>
        <v>1865035.9655156368</v>
      </c>
      <c r="C238" s="56">
        <f t="shared" si="16"/>
        <v>0.76527797619262894</v>
      </c>
      <c r="D238" s="85">
        <f t="shared" si="14"/>
        <v>0.59092785081652233</v>
      </c>
      <c r="I238" s="109" t="str">
        <f ca="1">RIGHT(_xlfn.FORMULATEXT(C235),47)</f>
        <v>/ ((1-LOGNORM.DIST(B$235,G$259,G$262,1))-A$235)</v>
      </c>
      <c r="J238" s="89">
        <v>238</v>
      </c>
    </row>
    <row r="239" spans="1:10" ht="12.75" customHeight="1" x14ac:dyDescent="0.2">
      <c r="A239" s="25">
        <v>0.05</v>
      </c>
      <c r="B239" s="40">
        <f t="shared" si="15"/>
        <v>4079990.358848515</v>
      </c>
      <c r="C239" s="56">
        <f t="shared" si="16"/>
        <v>0.59649611025446125</v>
      </c>
      <c r="D239" s="85">
        <f t="shared" si="14"/>
        <v>0.29546392540826116</v>
      </c>
      <c r="E239" s="107" t="str">
        <f>CHAR(COLUMN(D$235)+64)&amp;ROW(D$235)</f>
        <v>D235</v>
      </c>
      <c r="F239" t="str">
        <f ca="1">_xlfn.FORMULATEXT(D235)</f>
        <v>=A235/A$235</v>
      </c>
      <c r="J239" s="89">
        <v>239</v>
      </c>
    </row>
    <row r="240" spans="1:10" ht="12.75" customHeight="1" x14ac:dyDescent="0.2">
      <c r="A240" s="25">
        <v>0.02</v>
      </c>
      <c r="B240" s="40">
        <f t="shared" si="15"/>
        <v>6875572.084344374</v>
      </c>
      <c r="C240" s="56">
        <f t="shared" si="16"/>
        <v>0.48403257076734124</v>
      </c>
      <c r="D240" s="85">
        <f t="shared" si="14"/>
        <v>0.11818557016330447</v>
      </c>
      <c r="E240" s="107" t="str">
        <f>CHAR(COLUMN(A$236)+64)&amp;ROW(A$236)</f>
        <v>A236</v>
      </c>
      <c r="F240" s="111">
        <f>A236</f>
        <v>0.2</v>
      </c>
      <c r="J240" s="89">
        <v>240</v>
      </c>
    </row>
    <row r="241" spans="1:12" ht="12.75" customHeight="1" x14ac:dyDescent="0.2">
      <c r="A241" s="25">
        <v>0.01</v>
      </c>
      <c r="B241" s="40">
        <f t="shared" si="15"/>
        <v>11085051.069563909</v>
      </c>
      <c r="C241" s="56">
        <f t="shared" si="16"/>
        <v>0.36911576574810812</v>
      </c>
      <c r="D241" s="85">
        <f t="shared" si="14"/>
        <v>5.9092785081652235E-2</v>
      </c>
      <c r="J241" s="89">
        <v>241</v>
      </c>
    </row>
    <row r="242" spans="1:12" ht="12.75" customHeight="1" x14ac:dyDescent="0.2">
      <c r="A242" s="26">
        <v>1E-3</v>
      </c>
      <c r="B242" s="59">
        <f>+B225</f>
        <v>43547756.103166893</v>
      </c>
      <c r="C242" s="56">
        <f t="shared" si="16"/>
        <v>0.12606881275496412</v>
      </c>
      <c r="D242" s="85">
        <f t="shared" si="14"/>
        <v>5.909278508165223E-3</v>
      </c>
      <c r="E242" s="107" t="str">
        <f>CHAR(COLUMN(A$247)+64)&amp;ROW(A$247)</f>
        <v>A247</v>
      </c>
      <c r="F242" s="18" t="str">
        <f ca="1">_xlfn.FORMULATEXT(A247)</f>
        <v>=(C224-A224)*B$5/(1-A$194)</v>
      </c>
      <c r="J242" s="89">
        <v>242</v>
      </c>
    </row>
    <row r="243" spans="1:12" ht="12.75" customHeight="1" x14ac:dyDescent="0.2">
      <c r="A243" s="35">
        <v>1E-4</v>
      </c>
      <c r="B243" s="59">
        <f>+B227</f>
        <v>98907525.21068266</v>
      </c>
      <c r="C243" s="80">
        <f t="shared" si="16"/>
        <v>5.3619859705398093E-2</v>
      </c>
      <c r="D243" s="85">
        <f t="shared" si="14"/>
        <v>5.9092785081652237E-4</v>
      </c>
      <c r="E243" s="107" t="str">
        <f>CHAR(COLUMN(A248)+64)&amp;ROW(A248)</f>
        <v>A248</v>
      </c>
      <c r="F243" s="18" t="str">
        <f ca="1">_xlfn.FORMULATEXT(A248)</f>
        <v>=(C221-A221)*B$5/(1-A$194)</v>
      </c>
      <c r="J243" s="89">
        <v>243</v>
      </c>
    </row>
    <row r="244" spans="1:12" ht="12.75" customHeight="1" thickBot="1" x14ac:dyDescent="0.25">
      <c r="A244" s="34">
        <v>1.0000000000000001E-5</v>
      </c>
      <c r="B244" s="60">
        <f>+B230</f>
        <v>281249080.84639579</v>
      </c>
      <c r="C244" s="82">
        <f t="shared" si="16"/>
        <v>1.4157504055732257E-2</v>
      </c>
      <c r="D244" s="86">
        <f t="shared" si="14"/>
        <v>5.9092785081652238E-5</v>
      </c>
      <c r="J244" s="89">
        <v>244</v>
      </c>
    </row>
    <row r="245" spans="1:12" ht="12.75" customHeight="1" x14ac:dyDescent="0.2">
      <c r="J245" s="89">
        <v>245</v>
      </c>
    </row>
    <row r="246" spans="1:12" ht="12.75" customHeight="1" x14ac:dyDescent="0.2">
      <c r="A246" s="4" t="s">
        <v>16</v>
      </c>
      <c r="J246" s="89">
        <v>246</v>
      </c>
    </row>
    <row r="247" spans="1:12" ht="12.75" customHeight="1" x14ac:dyDescent="0.2">
      <c r="A247" s="120">
        <f>(C224-A224)*B$5/(1-A$194)</f>
        <v>71525.563031742742</v>
      </c>
      <c r="B247" s="11" t="s">
        <v>105</v>
      </c>
      <c r="I247" s="11"/>
      <c r="J247" s="89">
        <v>247</v>
      </c>
    </row>
    <row r="248" spans="1:12" ht="12.75" customHeight="1" x14ac:dyDescent="0.2">
      <c r="A248" s="120">
        <f>(C221-A221)*B$5/(1-A$194)</f>
        <v>198737.03518642479</v>
      </c>
      <c r="B248" s="11" t="s">
        <v>104</v>
      </c>
      <c r="H248" s="81"/>
      <c r="I248" s="11"/>
      <c r="J248" s="89">
        <v>248</v>
      </c>
    </row>
    <row r="249" spans="1:12" ht="12.75" customHeight="1" x14ac:dyDescent="0.2">
      <c r="A249" s="120">
        <f>(C219-A219)*B$5/(1-A$194)</f>
        <v>334789.38555258402</v>
      </c>
      <c r="B249" s="11" t="s">
        <v>106</v>
      </c>
      <c r="J249" s="89">
        <v>249</v>
      </c>
    </row>
    <row r="250" spans="1:12" ht="12.75" customHeight="1" x14ac:dyDescent="0.2">
      <c r="B250" s="107" t="str">
        <f>CHAR(COLUMN(A247)+64)&amp;ROW(A247)</f>
        <v>A247</v>
      </c>
      <c r="C250" t="str">
        <f ca="1">_xlfn.FORMULATEXT(A247)</f>
        <v>=(C224-A224)*B$5/(1-A$194)</v>
      </c>
      <c r="F250" s="107" t="str">
        <f>CHAR(COLUMN(A253)+64)&amp;ROW(A253)</f>
        <v>A253</v>
      </c>
      <c r="G250" t="str">
        <f ca="1">_xlfn.FORMULATEXT(A253)</f>
        <v>= A200*B5</v>
      </c>
      <c r="J250" s="89">
        <v>250</v>
      </c>
    </row>
    <row r="251" spans="1:12" ht="12.75" customHeight="1" x14ac:dyDescent="0.2">
      <c r="B251" s="107" t="str">
        <f>CHAR(COLUMN(A248)+64)&amp;ROW(A248)</f>
        <v>A248</v>
      </c>
      <c r="C251" t="str">
        <f ca="1">_xlfn.FORMULATEXT(A248)</f>
        <v>=(C221-A221)*B$5/(1-A$194)</v>
      </c>
      <c r="F251" s="107" t="str">
        <f t="shared" ref="F251:F252" si="17">CHAR(COLUMN(A254)+64)&amp;ROW(A254)</f>
        <v>A254</v>
      </c>
      <c r="G251" t="str">
        <f t="shared" ref="G251:G252" ca="1" si="18">_xlfn.FORMULATEXT(A254)</f>
        <v>=A253/(1-A194)</v>
      </c>
      <c r="J251" s="89">
        <v>251</v>
      </c>
    </row>
    <row r="252" spans="1:12" ht="12.75" customHeight="1" x14ac:dyDescent="0.2">
      <c r="B252" s="107" t="str">
        <f>CHAR(COLUMN(A249)+64)&amp;ROW(A249)</f>
        <v>A249</v>
      </c>
      <c r="C252" t="str">
        <f ca="1">_xlfn.FORMULATEXT(A249)</f>
        <v>=(C219-A219)*B$5/(1-A$194)</v>
      </c>
      <c r="F252" s="107" t="str">
        <f t="shared" si="17"/>
        <v>A255</v>
      </c>
      <c r="G252" t="str">
        <f t="shared" ca="1" si="18"/>
        <v>=A253/A194</v>
      </c>
      <c r="H252" s="81"/>
      <c r="J252" s="89">
        <v>252</v>
      </c>
    </row>
    <row r="253" spans="1:12" ht="12.75" customHeight="1" x14ac:dyDescent="0.2">
      <c r="A253" s="121">
        <f xml:space="preserve"> A200*B5</f>
        <v>330774.60325854726</v>
      </c>
      <c r="B253" s="11" t="s">
        <v>18</v>
      </c>
      <c r="H253" s="81"/>
      <c r="J253" s="89">
        <v>253</v>
      </c>
    </row>
    <row r="254" spans="1:12" ht="12.75" customHeight="1" x14ac:dyDescent="0.2">
      <c r="A254" s="121">
        <f>A253/(1-A194)</f>
        <v>398152.040229865</v>
      </c>
      <c r="B254" s="11" t="s">
        <v>19</v>
      </c>
      <c r="H254" s="81"/>
      <c r="J254" s="89">
        <v>254</v>
      </c>
    </row>
    <row r="255" spans="1:12" ht="12.75" customHeight="1" x14ac:dyDescent="0.2">
      <c r="A255" s="121">
        <f>A253/A194</f>
        <v>1954639.2540826118</v>
      </c>
      <c r="B255" s="11" t="s">
        <v>20</v>
      </c>
      <c r="J255" s="89">
        <v>255</v>
      </c>
      <c r="K255" s="18"/>
    </row>
    <row r="256" spans="1:12" ht="12.75" customHeight="1" x14ac:dyDescent="0.2">
      <c r="A256" s="62" t="s">
        <v>23</v>
      </c>
      <c r="B256" s="63" t="s">
        <v>24</v>
      </c>
      <c r="C256" s="24" t="s">
        <v>25</v>
      </c>
      <c r="D256" s="64" t="s">
        <v>26</v>
      </c>
      <c r="E256" s="63" t="s">
        <v>27</v>
      </c>
      <c r="F256" s="63" t="s">
        <v>28</v>
      </c>
      <c r="G256" s="63" t="s">
        <v>29</v>
      </c>
      <c r="H256" s="63" t="s">
        <v>30</v>
      </c>
      <c r="I256" s="63" t="s">
        <v>31</v>
      </c>
      <c r="J256" s="89">
        <v>256</v>
      </c>
      <c r="K256" s="28"/>
      <c r="L256" s="54"/>
    </row>
    <row r="257" spans="1:17" ht="12.75" customHeight="1" x14ac:dyDescent="0.2">
      <c r="A257" s="4" t="s">
        <v>15</v>
      </c>
      <c r="J257" s="89">
        <v>257</v>
      </c>
      <c r="K257" s="29"/>
      <c r="L257" s="54"/>
    </row>
    <row r="258" spans="1:17" ht="12.75" customHeight="1" thickBot="1" x14ac:dyDescent="0.25">
      <c r="A258" s="37"/>
      <c r="B258" s="16" t="s">
        <v>14</v>
      </c>
      <c r="F258" s="16" t="s">
        <v>13</v>
      </c>
      <c r="H258" s="5"/>
      <c r="J258" s="89">
        <v>258</v>
      </c>
      <c r="K258" s="29"/>
      <c r="L258" s="54"/>
    </row>
    <row r="259" spans="1:17" ht="12.75" customHeight="1" x14ac:dyDescent="0.2">
      <c r="A259" s="20"/>
      <c r="B259" s="2" t="s">
        <v>0</v>
      </c>
      <c r="C259" s="7">
        <f>LN(B4)</f>
        <v>11.289781913656018</v>
      </c>
      <c r="D259" s="5"/>
      <c r="F259" s="2" t="s">
        <v>0</v>
      </c>
      <c r="G259" s="41">
        <f>C259+C261</f>
        <v>14.954944841152638</v>
      </c>
      <c r="H259" s="5"/>
      <c r="J259" s="89">
        <v>259</v>
      </c>
      <c r="K259" s="29"/>
      <c r="L259" s="54"/>
    </row>
    <row r="260" spans="1:17" ht="12.75" customHeight="1" x14ac:dyDescent="0.2">
      <c r="A260" s="20"/>
      <c r="B260" s="6" t="s">
        <v>3</v>
      </c>
      <c r="C260" s="8">
        <f>LN(B5)</f>
        <v>13.122363377404328</v>
      </c>
      <c r="D260" s="5"/>
      <c r="F260" s="6" t="s">
        <v>3</v>
      </c>
      <c r="G260" s="42">
        <f>G259+G261/2</f>
        <v>16.787526304900947</v>
      </c>
      <c r="H260" s="22"/>
      <c r="J260" s="89">
        <v>260</v>
      </c>
      <c r="K260" s="29"/>
    </row>
    <row r="261" spans="1:17" ht="12.75" customHeight="1" x14ac:dyDescent="0.2">
      <c r="A261" s="20"/>
      <c r="B261" s="6" t="s">
        <v>5</v>
      </c>
      <c r="C261" s="8">
        <f>2*(C260-C259)</f>
        <v>3.6651629274966204</v>
      </c>
      <c r="D261" s="5"/>
      <c r="F261" s="6" t="s">
        <v>5</v>
      </c>
      <c r="G261" s="42">
        <f>G262^2</f>
        <v>3.66516292749662</v>
      </c>
      <c r="J261" s="89">
        <v>261</v>
      </c>
      <c r="K261" s="29"/>
    </row>
    <row r="262" spans="1:17" ht="12.75" customHeight="1" thickBot="1" x14ac:dyDescent="0.25">
      <c r="A262" s="20"/>
      <c r="B262" s="3" t="s">
        <v>2</v>
      </c>
      <c r="C262" s="13">
        <f>SQRT(C261)</f>
        <v>1.9144615241619822</v>
      </c>
      <c r="D262" s="5"/>
      <c r="F262" s="3" t="s">
        <v>2</v>
      </c>
      <c r="G262" s="43">
        <f>C262</f>
        <v>1.9144615241619822</v>
      </c>
      <c r="J262" s="89">
        <v>262</v>
      </c>
    </row>
    <row r="263" spans="1:17" ht="12.75" customHeight="1" x14ac:dyDescent="0.2">
      <c r="A263" s="65"/>
      <c r="B263" s="23"/>
      <c r="C263" s="23"/>
      <c r="D263" s="23"/>
      <c r="E263" s="23"/>
      <c r="F263" s="23"/>
      <c r="G263" s="23"/>
      <c r="H263" s="23"/>
      <c r="I263" s="23"/>
      <c r="J263" s="89">
        <v>263</v>
      </c>
    </row>
    <row r="264" spans="1:17" ht="12.75" customHeight="1" x14ac:dyDescent="0.2">
      <c r="A264" s="4" t="s">
        <v>22</v>
      </c>
      <c r="D264" s="11" t="s">
        <v>32</v>
      </c>
      <c r="J264" s="89">
        <v>264</v>
      </c>
    </row>
    <row r="265" spans="1:17" ht="12.75" customHeight="1" x14ac:dyDescent="0.2">
      <c r="A265" s="87" t="str">
        <f>CHAR(COLUMN(B6)+64) &amp;ROW(B6)</f>
        <v>B6</v>
      </c>
      <c r="B265" t="str">
        <f ca="1">_xlfn.FORMULATEXT(B6)</f>
        <v>=EXP(C259-C261)</v>
      </c>
      <c r="E265" s="87" t="str">
        <f>CHAR(COLUMN(C261)+64) &amp;ROW(C261)</f>
        <v>C261</v>
      </c>
      <c r="F265" t="str">
        <f ca="1">_xlfn.FORMULATEXT(C261)</f>
        <v>=2*(C260-C259)</v>
      </c>
      <c r="H265" s="87" t="str">
        <f>CHAR(COLUMN(C259)+64) &amp;ROW(C259)</f>
        <v>C259</v>
      </c>
      <c r="I265" t="str">
        <f ca="1">_xlfn.FORMULATEXT(C259)</f>
        <v>=LN(B4)</v>
      </c>
      <c r="J265" s="89">
        <v>265</v>
      </c>
    </row>
    <row r="266" spans="1:17" ht="12.75" customHeight="1" x14ac:dyDescent="0.2">
      <c r="A266" s="87" t="str">
        <f>CHAR(COLUMN(E4)+64) &amp;ROW(E4)</f>
        <v>E4</v>
      </c>
      <c r="B266" t="str">
        <f ca="1">_xlfn.FORMULATEXT(E4)</f>
        <v>=EXP(G259)</v>
      </c>
      <c r="E266" s="87" t="str">
        <f>CHAR(COLUMN(C262)+64) &amp;ROW(C262)</f>
        <v>C262</v>
      </c>
      <c r="F266" t="str">
        <f ca="1">_xlfn.FORMULATEXT(C262)</f>
        <v>=SQRT(C261)</v>
      </c>
      <c r="H266" s="87" t="str">
        <f>CHAR(COLUMN(C260)+64) &amp;ROW(C260)</f>
        <v>C260</v>
      </c>
      <c r="I266" t="str">
        <f ca="1">_xlfn.FORMULATEXT(C260)</f>
        <v>=LN(B5)</v>
      </c>
      <c r="J266" s="89">
        <v>266</v>
      </c>
    </row>
    <row r="267" spans="1:17" ht="12.75" customHeight="1" x14ac:dyDescent="0.2">
      <c r="A267" s="87" t="str">
        <f>CHAR(COLUMN(E5)+64) &amp;ROW(E5)</f>
        <v>E5</v>
      </c>
      <c r="B267" t="str">
        <f ca="1">_xlfn.FORMULATEXT(E5)</f>
        <v>=EXP(G260)</v>
      </c>
      <c r="E267" s="87" t="str">
        <f>CHAR(COLUMN(G259)+64) &amp;ROW(G259)</f>
        <v>G259</v>
      </c>
      <c r="F267" t="str">
        <f ca="1">_xlfn.FORMULATEXT(G259)</f>
        <v>=C259+C261</v>
      </c>
      <c r="H267" s="87" t="str">
        <f>CHAR(COLUMN(G261)+64) &amp;ROW(G261)</f>
        <v>G261</v>
      </c>
      <c r="I267" t="str">
        <f ca="1">_xlfn.FORMULATEXT(G261)</f>
        <v>=G262^2</v>
      </c>
      <c r="J267" s="89">
        <v>267</v>
      </c>
    </row>
    <row r="268" spans="1:17" ht="12.75" customHeight="1" x14ac:dyDescent="0.2">
      <c r="A268" s="87" t="str">
        <f>CHAR(COLUMN(E6)+64) &amp;ROW(E6)</f>
        <v>E6</v>
      </c>
      <c r="B268" t="str">
        <f ca="1">_xlfn.FORMULATEXT(E6)</f>
        <v>=EXP(G259-G261)</v>
      </c>
      <c r="E268" s="87" t="str">
        <f>CHAR(COLUMN(G260)+64) &amp;ROW(G260)</f>
        <v>G260</v>
      </c>
      <c r="F268" t="str">
        <f ca="1">_xlfn.FORMULATEXT(G260)</f>
        <v>=G259+G261/2</v>
      </c>
      <c r="H268" s="87" t="str">
        <f>CHAR(COLUMN(G262)+64) &amp;ROW(G262)</f>
        <v>G262</v>
      </c>
      <c r="I268" t="str">
        <f ca="1">_xlfn.FORMULATEXT(G262)</f>
        <v>=C262</v>
      </c>
      <c r="J268" s="89">
        <v>268</v>
      </c>
    </row>
    <row r="269" spans="1:17" ht="12.75" customHeight="1" x14ac:dyDescent="0.2">
      <c r="A269" s="87" t="str">
        <f>CHAR(COLUMN(G4)+64) &amp;ROW(G4)</f>
        <v>G4</v>
      </c>
      <c r="B269" t="str">
        <f ca="1">_xlfn.FORMULATEXT(G4)</f>
        <v>=2*NORM.S.DIST(C262/SQRT(2),1)-1</v>
      </c>
      <c r="J269" s="89">
        <v>269</v>
      </c>
    </row>
    <row r="270" spans="1:17" ht="12.75" customHeight="1" x14ac:dyDescent="0.2">
      <c r="A270" s="87" t="str">
        <f>CHAR(COLUMN(B7)+64) &amp;ROW(B7)</f>
        <v>B7</v>
      </c>
      <c r="B270" s="11" t="str">
        <f ca="1">_xlfn.FORMULATEXT(B7)</f>
        <v>=SQRT((EXP($C$261)-1)*EXP(2*$C$259+$C$261))</v>
      </c>
      <c r="G270" s="87" t="str">
        <f>CHAR(COLUMN(A279)+64) &amp;ROW(A279)</f>
        <v>A279</v>
      </c>
      <c r="H270" t="str">
        <f ca="1">_xlfn.FORMULATEXT(A279)</f>
        <v>=B$4/(A276*1000)</v>
      </c>
      <c r="J270" s="89">
        <v>270</v>
      </c>
      <c r="O270" s="36"/>
      <c r="P270" s="53"/>
      <c r="Q270" s="52"/>
    </row>
    <row r="271" spans="1:17" ht="12.75" customHeight="1" x14ac:dyDescent="0.2">
      <c r="A271" s="87" t="str">
        <f>CHAR(COLUMN(E7)+64) &amp;ROW(E7)</f>
        <v>E7</v>
      </c>
      <c r="B271" t="str">
        <f ca="1">_xlfn.FORMULATEXT(E7)</f>
        <v>=SQRT((EXP($G$261)-1)*EXP(2*$G$259+$G$261))</v>
      </c>
      <c r="C271" s="11"/>
      <c r="D271" s="12"/>
      <c r="E271" s="12"/>
      <c r="G271" s="87" t="str">
        <f>CHAR(COLUMN(B279)+64) &amp;ROW(B279)</f>
        <v>B279</v>
      </c>
      <c r="H271" t="str">
        <f ca="1">_xlfn.FORMULATEXT(B279)</f>
        <v>=D279/(F$274*10000)</v>
      </c>
      <c r="J271" s="89">
        <v>271</v>
      </c>
    </row>
    <row r="272" spans="1:17" ht="12.75" customHeight="1" x14ac:dyDescent="0.2">
      <c r="A272" s="87" t="str">
        <f>CHAR(COLUMN(D279)+64) &amp;ROW(D279)</f>
        <v>D279</v>
      </c>
      <c r="B272" t="str">
        <f ca="1">_xlfn.FORMULATEXT(D279)</f>
        <v>=1000000*LOGNORM.DIST(A279*1000,C$259,C$262,0)</v>
      </c>
      <c r="D272" s="70"/>
      <c r="E272" s="70"/>
      <c r="G272" s="48"/>
      <c r="H272" s="48"/>
      <c r="J272" s="89">
        <v>272</v>
      </c>
    </row>
    <row r="273" spans="1:14" ht="12.75" customHeight="1" x14ac:dyDescent="0.2">
      <c r="A273" s="62" t="s">
        <v>23</v>
      </c>
      <c r="B273" s="63" t="s">
        <v>24</v>
      </c>
      <c r="C273" s="24" t="s">
        <v>25</v>
      </c>
      <c r="D273" s="64" t="s">
        <v>26</v>
      </c>
      <c r="E273" s="63" t="s">
        <v>27</v>
      </c>
      <c r="F273" s="63" t="s">
        <v>28</v>
      </c>
      <c r="G273" s="63" t="s">
        <v>29</v>
      </c>
      <c r="H273" s="63" t="s">
        <v>30</v>
      </c>
      <c r="I273" s="63" t="s">
        <v>31</v>
      </c>
      <c r="J273" s="89">
        <v>273</v>
      </c>
    </row>
    <row r="274" spans="1:14" ht="12.75" customHeight="1" x14ac:dyDescent="0.2">
      <c r="A274" s="67">
        <f>B$6</f>
        <v>2047.9999999999984</v>
      </c>
      <c r="B274" s="11" t="s">
        <v>112</v>
      </c>
      <c r="E274" s="87"/>
      <c r="F274">
        <f>_xlfn.LOGNORM.DIST(A274,C259,C262,0)</f>
        <v>1.6279964503337201E-5</v>
      </c>
      <c r="G274" s="11" t="s">
        <v>115</v>
      </c>
      <c r="J274" s="89">
        <v>274</v>
      </c>
    </row>
    <row r="275" spans="1:14" ht="12.75" customHeight="1" x14ac:dyDescent="0.2">
      <c r="A275" s="67">
        <f>B4</f>
        <v>80000</v>
      </c>
      <c r="B275" s="11" t="s">
        <v>134</v>
      </c>
      <c r="E275" s="69"/>
      <c r="F275">
        <f>_xlfn.LOGNORM.DIST(A275,G259,G262,0)</f>
        <v>4.1676709128543224E-7</v>
      </c>
      <c r="G275" s="11" t="s">
        <v>116</v>
      </c>
      <c r="J275" s="89">
        <v>275</v>
      </c>
      <c r="N275" s="11"/>
    </row>
    <row r="276" spans="1:14" ht="12.75" customHeight="1" x14ac:dyDescent="0.2">
      <c r="A276">
        <v>10</v>
      </c>
      <c r="B276" s="11" t="s">
        <v>117</v>
      </c>
      <c r="J276" s="89">
        <v>276</v>
      </c>
    </row>
    <row r="277" spans="1:14" ht="12.75" customHeight="1" x14ac:dyDescent="0.2">
      <c r="A277" s="11" t="s">
        <v>108</v>
      </c>
      <c r="B277" s="11" t="s">
        <v>113</v>
      </c>
      <c r="C277" s="11" t="s">
        <v>114</v>
      </c>
      <c r="D277" s="11" t="s">
        <v>107</v>
      </c>
      <c r="E277" s="11" t="s">
        <v>111</v>
      </c>
      <c r="F277" s="11" t="s">
        <v>109</v>
      </c>
      <c r="G277" s="11" t="s">
        <v>110</v>
      </c>
      <c r="J277" s="89">
        <v>277</v>
      </c>
    </row>
    <row r="278" spans="1:14" ht="12.75" customHeight="1" x14ac:dyDescent="0.2">
      <c r="A278">
        <v>0.01</v>
      </c>
      <c r="B278" s="124">
        <f>D278/F$274</f>
        <v>20984.852963319681</v>
      </c>
      <c r="C278" s="124">
        <f t="shared" ref="C278:C303" si="19">E278/(F$275*10000)</f>
        <v>1.6394416377593357E-3</v>
      </c>
      <c r="D278" s="124">
        <f t="shared" ref="D278:D303" si="20">1000000*_xlfn.LOGNORM.DIST(A278*1000,C$259,C$262,0)</f>
        <v>0.34163266135059489</v>
      </c>
      <c r="E278" s="124">
        <f t="shared" ref="E278:E303" si="21">1000000*_xlfn.LOGNORM.DIST(A278*1000,G$259,G$262,0)</f>
        <v>6.8326532270118361E-6</v>
      </c>
      <c r="F278" s="123">
        <f t="shared" ref="F278:F303" si="22">_xlfn.LOGNORM.DIST(A278*1000,C$259,C$262,1)</f>
        <v>1.3371273070089387E-6</v>
      </c>
      <c r="G278" s="123">
        <f t="shared" ref="G278:G303" si="23">_xlfn.LOGNORM.DIST(A278*1000,G$259,G$262,1)</f>
        <v>1.936784718586194E-11</v>
      </c>
      <c r="J278" s="89">
        <v>278</v>
      </c>
    </row>
    <row r="279" spans="1:14" ht="12.75" customHeight="1" x14ac:dyDescent="0.2">
      <c r="A279">
        <f>B$4/(A276*1000)</f>
        <v>8</v>
      </c>
      <c r="B279" s="124">
        <f t="shared" ref="B279:B303" si="24">D279/(F$274*10000)</f>
        <v>77.625119777861684</v>
      </c>
      <c r="C279" s="124">
        <f t="shared" si="19"/>
        <v>48.515699861163647</v>
      </c>
      <c r="D279" s="124">
        <f t="shared" si="20"/>
        <v>12.637341945508869</v>
      </c>
      <c r="E279" s="124">
        <f t="shared" si="21"/>
        <v>0.20219747112814224</v>
      </c>
      <c r="F279" s="123">
        <f t="shared" si="22"/>
        <v>0.11453992668958314</v>
      </c>
      <c r="G279" s="123">
        <f t="shared" si="23"/>
        <v>9.1290682956476096E-4</v>
      </c>
      <c r="I279" s="48"/>
      <c r="J279" s="89">
        <v>279</v>
      </c>
    </row>
    <row r="280" spans="1:14" ht="12.75" customHeight="1" x14ac:dyDescent="0.2">
      <c r="A280">
        <f t="shared" ref="A280:A303" si="25">A279+A$279</f>
        <v>16</v>
      </c>
      <c r="B280" s="124">
        <f t="shared" si="24"/>
        <v>56.185588858040092</v>
      </c>
      <c r="C280" s="124">
        <f t="shared" si="19"/>
        <v>70.231986072550214</v>
      </c>
      <c r="D280" s="124">
        <f t="shared" si="20"/>
        <v>9.1469939220799095</v>
      </c>
      <c r="E280" s="124">
        <f t="shared" si="21"/>
        <v>0.29270380550655739</v>
      </c>
      <c r="F280" s="123">
        <f t="shared" si="22"/>
        <v>0.20026531184472021</v>
      </c>
      <c r="G280" s="123">
        <f t="shared" si="23"/>
        <v>2.9333919858626901E-3</v>
      </c>
      <c r="H280" s="48"/>
      <c r="I280" s="48"/>
      <c r="J280" s="89">
        <v>280</v>
      </c>
      <c r="K280" s="29"/>
    </row>
    <row r="281" spans="1:14" ht="12.75" customHeight="1" x14ac:dyDescent="0.2">
      <c r="A281">
        <f t="shared" si="25"/>
        <v>24</v>
      </c>
      <c r="B281" s="124">
        <f t="shared" si="24"/>
        <v>43.76412637490116</v>
      </c>
      <c r="C281" s="124">
        <f t="shared" si="19"/>
        <v>82.057736952939464</v>
      </c>
      <c r="D281" s="124">
        <f t="shared" si="20"/>
        <v>7.1247842390295428</v>
      </c>
      <c r="E281" s="124">
        <f t="shared" si="21"/>
        <v>0.34198964347341709</v>
      </c>
      <c r="F281" s="123">
        <f t="shared" si="22"/>
        <v>0.26471274308407111</v>
      </c>
      <c r="G281" s="123">
        <f t="shared" si="23"/>
        <v>5.4898413407742323E-3</v>
      </c>
      <c r="J281" s="89">
        <v>281</v>
      </c>
    </row>
    <row r="282" spans="1:14" ht="12.75" customHeight="1" x14ac:dyDescent="0.2">
      <c r="A282">
        <f t="shared" si="25"/>
        <v>32</v>
      </c>
      <c r="B282" s="124">
        <f t="shared" si="24"/>
        <v>35.671181169499924</v>
      </c>
      <c r="C282" s="124">
        <f t="shared" si="19"/>
        <v>89.177952923749913</v>
      </c>
      <c r="D282" s="124">
        <f t="shared" si="20"/>
        <v>5.8072556323156919</v>
      </c>
      <c r="E282" s="124">
        <f t="shared" si="21"/>
        <v>0.37166436046820461</v>
      </c>
      <c r="F282" s="123">
        <f t="shared" si="22"/>
        <v>0.31610613706266766</v>
      </c>
      <c r="G282" s="123">
        <f t="shared" si="23"/>
        <v>8.3538693135991673E-3</v>
      </c>
      <c r="J282" s="89">
        <v>282</v>
      </c>
    </row>
    <row r="283" spans="1:14" ht="12.75" customHeight="1" x14ac:dyDescent="0.2">
      <c r="A283">
        <f t="shared" si="25"/>
        <v>40</v>
      </c>
      <c r="B283" s="124">
        <f t="shared" si="24"/>
        <v>29.969874768365298</v>
      </c>
      <c r="C283" s="124">
        <f t="shared" si="19"/>
        <v>93.655858651141585</v>
      </c>
      <c r="D283" s="124">
        <f t="shared" si="20"/>
        <v>4.879084973984483</v>
      </c>
      <c r="E283" s="124">
        <f t="shared" si="21"/>
        <v>0.39032679791875863</v>
      </c>
      <c r="F283" s="123">
        <f t="shared" si="22"/>
        <v>0.35865413545158631</v>
      </c>
      <c r="G283" s="123">
        <f t="shared" si="23"/>
        <v>1.1407449992570191E-2</v>
      </c>
      <c r="J283" s="89">
        <v>283</v>
      </c>
    </row>
    <row r="284" spans="1:14" ht="12.75" customHeight="1" x14ac:dyDescent="0.2">
      <c r="A284">
        <f t="shared" si="25"/>
        <v>48</v>
      </c>
      <c r="B284" s="124">
        <f t="shared" si="24"/>
        <v>25.734091631483079</v>
      </c>
      <c r="C284" s="124">
        <f t="shared" si="19"/>
        <v>96.502843618061647</v>
      </c>
      <c r="D284" s="124">
        <f t="shared" si="20"/>
        <v>4.1895009828617145</v>
      </c>
      <c r="E284" s="124">
        <f t="shared" si="21"/>
        <v>0.40219209435472492</v>
      </c>
      <c r="F284" s="123">
        <f t="shared" si="22"/>
        <v>0.39480206744047097</v>
      </c>
      <c r="G284" s="123">
        <f t="shared" si="23"/>
        <v>1.4581126313234589E-2</v>
      </c>
      <c r="J284" s="89">
        <v>284</v>
      </c>
    </row>
    <row r="285" spans="1:14" ht="12.75" customHeight="1" x14ac:dyDescent="0.2">
      <c r="A285">
        <f t="shared" si="25"/>
        <v>56</v>
      </c>
      <c r="B285" s="124">
        <f t="shared" si="24"/>
        <v>22.463881975560366</v>
      </c>
      <c r="C285" s="124">
        <f t="shared" si="19"/>
        <v>98.279483643076759</v>
      </c>
      <c r="D285" s="124">
        <f t="shared" si="20"/>
        <v>3.6571120116927913</v>
      </c>
      <c r="E285" s="124">
        <f t="shared" si="21"/>
        <v>0.40959654530959316</v>
      </c>
      <c r="F285" s="123">
        <f t="shared" si="22"/>
        <v>0.42610254969425926</v>
      </c>
      <c r="G285" s="123">
        <f t="shared" si="23"/>
        <v>1.7830705909443773E-2</v>
      </c>
      <c r="J285" s="89">
        <v>285</v>
      </c>
    </row>
    <row r="286" spans="1:14" ht="12.75" customHeight="1" x14ac:dyDescent="0.2">
      <c r="A286">
        <f t="shared" si="25"/>
        <v>64</v>
      </c>
      <c r="B286" s="124">
        <f t="shared" si="24"/>
        <v>19.864605443239707</v>
      </c>
      <c r="C286" s="124">
        <f t="shared" si="19"/>
        <v>99.323027216198653</v>
      </c>
      <c r="D286" s="124">
        <f t="shared" si="20"/>
        <v>3.2339507148874143</v>
      </c>
      <c r="E286" s="124">
        <f t="shared" si="21"/>
        <v>0.41394569150558935</v>
      </c>
      <c r="F286" s="123">
        <f t="shared" si="22"/>
        <v>0.45360562769248125</v>
      </c>
      <c r="G286" s="123">
        <f t="shared" si="23"/>
        <v>2.1126566780440632E-2</v>
      </c>
      <c r="J286" s="89">
        <v>286</v>
      </c>
    </row>
    <row r="287" spans="1:14" ht="12.75" customHeight="1" x14ac:dyDescent="0.2">
      <c r="A287">
        <f t="shared" si="25"/>
        <v>72</v>
      </c>
      <c r="B287" s="124">
        <f t="shared" si="24"/>
        <v>17.750875988452727</v>
      </c>
      <c r="C287" s="124">
        <f t="shared" si="19"/>
        <v>99.848677435046753</v>
      </c>
      <c r="D287" s="124">
        <f t="shared" si="20"/>
        <v>2.8898363099515105</v>
      </c>
      <c r="E287" s="124">
        <f t="shared" si="21"/>
        <v>0.41613642863301809</v>
      </c>
      <c r="F287" s="123">
        <f t="shared" si="22"/>
        <v>0.47805568002115478</v>
      </c>
      <c r="G287" s="123">
        <f t="shared" si="23"/>
        <v>2.4448106822935325E-2</v>
      </c>
      <c r="J287" s="89">
        <v>287</v>
      </c>
    </row>
    <row r="288" spans="1:14" ht="12.75" customHeight="1" x14ac:dyDescent="0.2">
      <c r="A288">
        <f t="shared" si="25"/>
        <v>80</v>
      </c>
      <c r="B288" s="124">
        <f t="shared" si="24"/>
        <v>16.000000000000046</v>
      </c>
      <c r="C288" s="124">
        <f t="shared" si="19"/>
        <v>99.999999999999986</v>
      </c>
      <c r="D288" s="124">
        <f t="shared" si="20"/>
        <v>2.6047943205339599</v>
      </c>
      <c r="E288" s="124">
        <f t="shared" si="21"/>
        <v>0.41676709128543221</v>
      </c>
      <c r="F288" s="123">
        <f t="shared" si="22"/>
        <v>0.5</v>
      </c>
      <c r="G288" s="123">
        <f t="shared" si="23"/>
        <v>2.7780605417786798E-2</v>
      </c>
      <c r="J288" s="89">
        <v>288</v>
      </c>
    </row>
    <row r="289" spans="1:10" ht="12.75" customHeight="1" x14ac:dyDescent="0.2">
      <c r="A289">
        <f t="shared" si="25"/>
        <v>88</v>
      </c>
      <c r="B289" s="124">
        <f t="shared" si="24"/>
        <v>14.527440405821929</v>
      </c>
      <c r="C289" s="124">
        <f t="shared" si="19"/>
        <v>99.87615279002587</v>
      </c>
      <c r="D289" s="124">
        <f t="shared" si="20"/>
        <v>2.365062141311276</v>
      </c>
      <c r="E289" s="124">
        <f t="shared" si="21"/>
        <v>0.4162509368707849</v>
      </c>
      <c r="F289" s="123">
        <f t="shared" si="22"/>
        <v>0.51985287204292885</v>
      </c>
      <c r="G289" s="123">
        <f t="shared" si="23"/>
        <v>3.1113332495408996E-2</v>
      </c>
      <c r="J289" s="89">
        <v>289</v>
      </c>
    </row>
    <row r="290" spans="1:10" ht="12.75" customHeight="1" x14ac:dyDescent="0.2">
      <c r="A290">
        <f t="shared" si="25"/>
        <v>96</v>
      </c>
      <c r="B290" s="124">
        <f t="shared" si="24"/>
        <v>13.273006967718525</v>
      </c>
      <c r="C290" s="124">
        <f t="shared" si="19"/>
        <v>99.547552257889009</v>
      </c>
      <c r="D290" s="124">
        <f t="shared" si="20"/>
        <v>2.1608408228700493</v>
      </c>
      <c r="E290" s="124">
        <f t="shared" si="21"/>
        <v>0.41488143799104965</v>
      </c>
      <c r="F290" s="123">
        <f t="shared" si="22"/>
        <v>0.537935461271417</v>
      </c>
      <c r="G290" s="123">
        <f t="shared" si="23"/>
        <v>3.4438351812146252E-2</v>
      </c>
      <c r="J290" s="89">
        <v>290</v>
      </c>
    </row>
    <row r="291" spans="1:10" ht="12.75" customHeight="1" x14ac:dyDescent="0.2">
      <c r="A291">
        <f t="shared" si="25"/>
        <v>104</v>
      </c>
      <c r="B291" s="124">
        <f t="shared" si="24"/>
        <v>12.192658578500806</v>
      </c>
      <c r="C291" s="124">
        <f t="shared" si="19"/>
        <v>99.065350950319115</v>
      </c>
      <c r="D291" s="124">
        <f t="shared" si="20"/>
        <v>1.9849604885930296</v>
      </c>
      <c r="E291" s="124">
        <f t="shared" si="21"/>
        <v>0.41287178162735028</v>
      </c>
      <c r="F291" s="123">
        <f t="shared" si="22"/>
        <v>0.55450174403507213</v>
      </c>
      <c r="G291" s="123">
        <f t="shared" si="23"/>
        <v>3.7749733252555907E-2</v>
      </c>
      <c r="J291" s="89">
        <v>291</v>
      </c>
    </row>
    <row r="292" spans="1:10" x14ac:dyDescent="0.2">
      <c r="A292">
        <f t="shared" si="25"/>
        <v>112</v>
      </c>
      <c r="B292" s="124">
        <f t="shared" si="24"/>
        <v>11.253418375513684</v>
      </c>
      <c r="C292" s="124">
        <f t="shared" si="19"/>
        <v>98.467410785744846</v>
      </c>
      <c r="D292" s="124">
        <f t="shared" si="20"/>
        <v>1.8320525169456536</v>
      </c>
      <c r="E292" s="124">
        <f t="shared" si="21"/>
        <v>0.4103797637958268</v>
      </c>
      <c r="F292" s="123">
        <f t="shared" si="22"/>
        <v>0.56975597778776454</v>
      </c>
      <c r="G292" s="123">
        <f t="shared" si="23"/>
        <v>4.1043017447123284E-2</v>
      </c>
      <c r="J292" s="89">
        <v>292</v>
      </c>
    </row>
    <row r="293" spans="1:10" x14ac:dyDescent="0.2">
      <c r="A293">
        <f t="shared" si="25"/>
        <v>120</v>
      </c>
      <c r="B293" s="124">
        <f t="shared" si="24"/>
        <v>10.43010116151461</v>
      </c>
      <c r="C293" s="124">
        <f t="shared" si="19"/>
        <v>97.782198389199621</v>
      </c>
      <c r="D293" s="124">
        <f t="shared" si="20"/>
        <v>1.6980167667567396</v>
      </c>
      <c r="E293" s="124">
        <f t="shared" si="21"/>
        <v>0.40752402402161803</v>
      </c>
      <c r="F293" s="123">
        <f t="shared" si="22"/>
        <v>0.58386483007653345</v>
      </c>
      <c r="G293" s="123">
        <f t="shared" si="23"/>
        <v>4.4314842025265505E-2</v>
      </c>
      <c r="J293" s="89">
        <v>293</v>
      </c>
    </row>
    <row r="294" spans="1:10" x14ac:dyDescent="0.2">
      <c r="A294">
        <f t="shared" si="25"/>
        <v>128</v>
      </c>
      <c r="B294" s="124">
        <f t="shared" si="24"/>
        <v>9.7031399722327123</v>
      </c>
      <c r="C294" s="124">
        <f t="shared" si="19"/>
        <v>97.031399722327279</v>
      </c>
      <c r="D294" s="124">
        <f t="shared" si="20"/>
        <v>1.5796677431886088</v>
      </c>
      <c r="E294" s="124">
        <f t="shared" si="21"/>
        <v>0.40439494225628442</v>
      </c>
      <c r="F294" s="123">
        <f t="shared" si="22"/>
        <v>0.59696601823363515</v>
      </c>
      <c r="G294" s="123">
        <f t="shared" si="23"/>
        <v>4.7562674742124667E-2</v>
      </c>
      <c r="J294" s="89">
        <v>294</v>
      </c>
    </row>
    <row r="295" spans="1:10" x14ac:dyDescent="0.2">
      <c r="A295">
        <f t="shared" si="25"/>
        <v>136</v>
      </c>
      <c r="B295" s="124">
        <f t="shared" si="24"/>
        <v>9.0571029682054309</v>
      </c>
      <c r="C295" s="124">
        <f t="shared" si="19"/>
        <v>96.231719037182714</v>
      </c>
      <c r="D295" s="124">
        <f t="shared" si="20"/>
        <v>1.4744931482545443</v>
      </c>
      <c r="E295" s="124">
        <f t="shared" si="21"/>
        <v>0.40106213632523596</v>
      </c>
      <c r="F295" s="123">
        <f t="shared" si="22"/>
        <v>0.60917460143092961</v>
      </c>
      <c r="G295" s="123">
        <f t="shared" si="23"/>
        <v>5.0784619198555973E-2</v>
      </c>
      <c r="J295" s="89">
        <v>295</v>
      </c>
    </row>
    <row r="296" spans="1:10" x14ac:dyDescent="0.2">
      <c r="A296">
        <f t="shared" si="25"/>
        <v>144</v>
      </c>
      <c r="B296" s="124">
        <f t="shared" si="24"/>
        <v>8.4796571951141555</v>
      </c>
      <c r="C296" s="124">
        <f t="shared" si="19"/>
        <v>95.396143445034397</v>
      </c>
      <c r="D296" s="124">
        <f t="shared" si="20"/>
        <v>1.3804851813692636</v>
      </c>
      <c r="E296" s="124">
        <f t="shared" si="21"/>
        <v>0.39757973223434839</v>
      </c>
      <c r="F296" s="123">
        <f t="shared" si="22"/>
        <v>0.62058765247335768</v>
      </c>
      <c r="G296" s="123">
        <f t="shared" si="23"/>
        <v>5.3979271025799053E-2</v>
      </c>
      <c r="J296" s="89">
        <v>296</v>
      </c>
    </row>
    <row r="297" spans="1:10" x14ac:dyDescent="0.2">
      <c r="A297">
        <f t="shared" si="25"/>
        <v>152</v>
      </c>
      <c r="B297" s="124">
        <f t="shared" si="24"/>
        <v>7.9608293620702844</v>
      </c>
      <c r="C297" s="124">
        <f t="shared" si="19"/>
        <v>94.534848674584723</v>
      </c>
      <c r="D297" s="124">
        <f t="shared" si="20"/>
        <v>1.2960201943162877</v>
      </c>
      <c r="E297" s="124">
        <f t="shared" si="21"/>
        <v>0.39399013907215175</v>
      </c>
      <c r="F297" s="123">
        <f t="shared" si="22"/>
        <v>0.63128778614186454</v>
      </c>
      <c r="G297" s="123">
        <f t="shared" si="23"/>
        <v>5.7145609866503938E-2</v>
      </c>
      <c r="J297" s="89">
        <v>297</v>
      </c>
    </row>
    <row r="298" spans="1:10" x14ac:dyDescent="0.2">
      <c r="A298">
        <f t="shared" si="25"/>
        <v>160</v>
      </c>
      <c r="B298" s="124">
        <f t="shared" si="24"/>
        <v>7.4924686920913235</v>
      </c>
      <c r="C298" s="124">
        <f t="shared" si="19"/>
        <v>93.655858651141557</v>
      </c>
      <c r="D298" s="124">
        <f t="shared" si="20"/>
        <v>1.2197712434961205</v>
      </c>
      <c r="E298" s="124">
        <f t="shared" si="21"/>
        <v>0.39032679791875852</v>
      </c>
      <c r="F298" s="123">
        <f t="shared" si="22"/>
        <v>0.64134586454841369</v>
      </c>
      <c r="G298" s="123">
        <f t="shared" si="23"/>
        <v>6.0282917200932706E-2</v>
      </c>
      <c r="J298" s="89">
        <v>298</v>
      </c>
    </row>
    <row r="299" spans="1:10" x14ac:dyDescent="0.2">
      <c r="A299">
        <f t="shared" si="25"/>
        <v>168</v>
      </c>
      <c r="B299" s="124">
        <f t="shared" si="24"/>
        <v>7.0678501267837213</v>
      </c>
      <c r="C299" s="124">
        <f t="shared" si="19"/>
        <v>92.76553291403637</v>
      </c>
      <c r="D299" s="124">
        <f t="shared" si="20"/>
        <v>1.1506434917894632</v>
      </c>
      <c r="E299" s="124">
        <f t="shared" si="21"/>
        <v>0.38661621324125967</v>
      </c>
      <c r="F299" s="123">
        <f t="shared" si="22"/>
        <v>0.65082309969624474</v>
      </c>
      <c r="G299" s="123">
        <f t="shared" si="23"/>
        <v>6.33907131280282E-2</v>
      </c>
      <c r="J299" s="89">
        <v>299</v>
      </c>
    </row>
    <row r="300" spans="1:10" x14ac:dyDescent="0.2">
      <c r="A300">
        <f t="shared" si="25"/>
        <v>176</v>
      </c>
      <c r="B300" s="124">
        <f t="shared" si="24"/>
        <v>6.6813768411908683</v>
      </c>
      <c r="C300" s="124">
        <f t="shared" si="19"/>
        <v>91.868931566374528</v>
      </c>
      <c r="D300" s="124">
        <f t="shared" si="20"/>
        <v>1.0877257780800658</v>
      </c>
      <c r="E300" s="124">
        <f t="shared" si="21"/>
        <v>0.38287947388418342</v>
      </c>
      <c r="F300" s="123">
        <f t="shared" si="22"/>
        <v>0.65977270755101547</v>
      </c>
      <c r="G300" s="123">
        <f t="shared" si="23"/>
        <v>6.6468707243129352E-2</v>
      </c>
      <c r="J300" s="89">
        <v>300</v>
      </c>
    </row>
    <row r="301" spans="1:10" x14ac:dyDescent="0.2">
      <c r="A301">
        <f t="shared" si="25"/>
        <v>184</v>
      </c>
      <c r="B301" s="124">
        <f t="shared" si="24"/>
        <v>6.3283542097793122</v>
      </c>
      <c r="C301" s="124">
        <f t="shared" si="19"/>
        <v>90.970091765577706</v>
      </c>
      <c r="D301" s="124">
        <f t="shared" si="20"/>
        <v>1.0302538189975174</v>
      </c>
      <c r="E301" s="124">
        <f t="shared" si="21"/>
        <v>0.37913340539108675</v>
      </c>
      <c r="F301" s="123">
        <f t="shared" si="22"/>
        <v>0.66824122368336403</v>
      </c>
      <c r="G301" s="123">
        <f t="shared" si="23"/>
        <v>6.9516760130922076E-2</v>
      </c>
      <c r="J301" s="89">
        <v>301</v>
      </c>
    </row>
    <row r="302" spans="1:10" x14ac:dyDescent="0.2">
      <c r="A302">
        <f t="shared" si="25"/>
        <v>192</v>
      </c>
      <c r="B302" s="124">
        <f t="shared" si="24"/>
        <v>6.0048159621736987</v>
      </c>
      <c r="C302" s="124">
        <f t="shared" si="19"/>
        <v>90.072239432605528</v>
      </c>
      <c r="D302" s="124">
        <f t="shared" si="20"/>
        <v>0.9775819071326044</v>
      </c>
      <c r="E302" s="124">
        <f t="shared" si="21"/>
        <v>0.37539145233892018</v>
      </c>
      <c r="F302" s="123">
        <f t="shared" si="22"/>
        <v>0.67626956024647766</v>
      </c>
      <c r="G302" s="123">
        <f t="shared" si="23"/>
        <v>7.2534852942225128E-2</v>
      </c>
      <c r="J302" s="89">
        <v>302</v>
      </c>
    </row>
    <row r="303" spans="1:10" x14ac:dyDescent="0.2">
      <c r="A303">
        <f t="shared" si="25"/>
        <v>200</v>
      </c>
      <c r="B303" s="124">
        <f t="shared" si="24"/>
        <v>5.7073889871199688</v>
      </c>
      <c r="C303" s="124">
        <f t="shared" si="19"/>
        <v>89.177952923749942</v>
      </c>
      <c r="D303" s="124">
        <f t="shared" si="20"/>
        <v>0.92916090117050765</v>
      </c>
      <c r="E303" s="124">
        <f t="shared" si="21"/>
        <v>0.37166436046820472</v>
      </c>
      <c r="F303" s="123">
        <f t="shared" si="22"/>
        <v>0.68389386293733267</v>
      </c>
      <c r="G303" s="123">
        <f t="shared" si="23"/>
        <v>7.5523063189582948E-2</v>
      </c>
      <c r="J303" s="89">
        <v>303</v>
      </c>
    </row>
    <row r="304" spans="1:10" x14ac:dyDescent="0.2">
      <c r="A304">
        <f t="shared" ref="A304:A306" si="26">A303+A$279</f>
        <v>208</v>
      </c>
      <c r="B304" s="124">
        <f t="shared" ref="B304:B306" si="27">D304/(F$274*10000)</f>
        <v>5.4331871184031417</v>
      </c>
      <c r="C304" s="124">
        <f t="shared" ref="C304:C306" si="28">E304/(F$275*10000)</f>
        <v>88.289290674051117</v>
      </c>
      <c r="D304" s="124">
        <f t="shared" ref="D304:D306" si="29">1000000*_xlfn.LOGNORM.DIST(A304*1000,C$259,C$262,0)</f>
        <v>0.88452093427592093</v>
      </c>
      <c r="E304" s="124">
        <f t="shared" ref="E304:E306" si="30">1000000*_xlfn.LOGNORM.DIST(A304*1000,G$259,G$262,0)</f>
        <v>0.36796070865878322</v>
      </c>
      <c r="F304" s="123">
        <f t="shared" ref="F304:F306" si="31">_xlfn.LOGNORM.DIST(A304*1000,C$259,C$262,1)</f>
        <v>0.69114621163701107</v>
      </c>
      <c r="G304" s="123">
        <f t="shared" ref="G304:G306" si="32">_xlfn.LOGNORM.DIST(A304*1000,G$259,G$262,1)</f>
        <v>7.848154537107406E-2</v>
      </c>
      <c r="J304" s="89">
        <v>304</v>
      </c>
    </row>
    <row r="305" spans="1:10" x14ac:dyDescent="0.2">
      <c r="A305">
        <f t="shared" si="26"/>
        <v>216</v>
      </c>
      <c r="B305" s="124">
        <f t="shared" si="27"/>
        <v>5.1797269059131992</v>
      </c>
      <c r="C305" s="124">
        <f t="shared" si="28"/>
        <v>87.407891537285323</v>
      </c>
      <c r="D305" s="124">
        <f t="shared" si="29"/>
        <v>0.84325770165247516</v>
      </c>
      <c r="E305" s="124">
        <f t="shared" si="30"/>
        <v>0.36428732711386952</v>
      </c>
      <c r="F305" s="123">
        <f t="shared" si="31"/>
        <v>0.69805519767993673</v>
      </c>
      <c r="G305" s="123">
        <f t="shared" si="32"/>
        <v>8.1410515374130299E-2</v>
      </c>
      <c r="J305" s="89">
        <v>305</v>
      </c>
    </row>
    <row r="306" spans="1:10" x14ac:dyDescent="0.2">
      <c r="A306">
        <f t="shared" si="26"/>
        <v>224</v>
      </c>
      <c r="B306" s="124">
        <f t="shared" si="27"/>
        <v>4.9448602421020906</v>
      </c>
      <c r="C306" s="124">
        <f t="shared" si="28"/>
        <v>86.535054236786692</v>
      </c>
      <c r="D306" s="124">
        <f t="shared" si="29"/>
        <v>0.80502149215385443</v>
      </c>
      <c r="E306" s="124">
        <f t="shared" si="30"/>
        <v>0.3606496284849271</v>
      </c>
      <c r="F306" s="123">
        <f t="shared" si="31"/>
        <v>0.70464640287585589</v>
      </c>
      <c r="G306" s="123">
        <f t="shared" si="32"/>
        <v>8.4310237861335041E-2</v>
      </c>
      <c r="J306" s="89">
        <v>306</v>
      </c>
    </row>
    <row r="307" spans="1:10" x14ac:dyDescent="0.2">
      <c r="A307" s="62" t="s">
        <v>23</v>
      </c>
      <c r="B307" s="63" t="s">
        <v>24</v>
      </c>
      <c r="C307" s="24" t="s">
        <v>25</v>
      </c>
      <c r="D307" s="64" t="s">
        <v>26</v>
      </c>
      <c r="E307" s="63" t="s">
        <v>27</v>
      </c>
      <c r="F307" s="63" t="s">
        <v>28</v>
      </c>
      <c r="G307" s="63" t="s">
        <v>29</v>
      </c>
      <c r="H307" s="63" t="s">
        <v>30</v>
      </c>
      <c r="I307" s="63" t="s">
        <v>31</v>
      </c>
    </row>
    <row r="308" spans="1:10" x14ac:dyDescent="0.2">
      <c r="A308" s="12" t="s">
        <v>67</v>
      </c>
      <c r="B308" s="11" t="s">
        <v>71</v>
      </c>
      <c r="C308" s="12" t="s">
        <v>69</v>
      </c>
      <c r="D308" s="12" t="s">
        <v>68</v>
      </c>
      <c r="E308" s="12" t="s">
        <v>72</v>
      </c>
      <c r="F308" s="12" t="s">
        <v>70</v>
      </c>
      <c r="G308" s="12" t="s">
        <v>73</v>
      </c>
      <c r="H308" s="12" t="s">
        <v>123</v>
      </c>
      <c r="I308" s="12" t="s">
        <v>76</v>
      </c>
      <c r="J308" s="81" t="s">
        <v>77</v>
      </c>
    </row>
    <row r="309" spans="1:10" x14ac:dyDescent="0.2">
      <c r="A309" s="67">
        <v>50100</v>
      </c>
      <c r="B309" s="92">
        <f t="shared" ref="B309:B322" si="33">A309/A$323</f>
        <v>1.002</v>
      </c>
      <c r="C309" s="48">
        <v>0.51300000000000001</v>
      </c>
      <c r="D309" s="48">
        <f>1-C309</f>
        <v>0.48699999999999999</v>
      </c>
      <c r="E309" s="92">
        <f t="shared" ref="E309:E322" si="34">C309/D309</f>
        <v>1.053388090349076</v>
      </c>
      <c r="F309" s="91">
        <v>3.5999999999999997E-2</v>
      </c>
      <c r="G309" s="92">
        <f>1/E309</f>
        <v>0.949317738791423</v>
      </c>
      <c r="H309" s="91">
        <v>2.5000000000000001E-2</v>
      </c>
      <c r="I309">
        <v>3170</v>
      </c>
      <c r="J309" s="81">
        <f>(A309-A323)/I309</f>
        <v>3.1545741324921134E-2</v>
      </c>
    </row>
    <row r="310" spans="1:10" x14ac:dyDescent="0.2">
      <c r="A310" s="67">
        <v>51000</v>
      </c>
      <c r="B310" s="92">
        <f t="shared" si="33"/>
        <v>1.02</v>
      </c>
      <c r="C310" s="48">
        <v>0.54</v>
      </c>
      <c r="D310" s="48">
        <f t="shared" ref="D310:D322" si="35">1-C310</f>
        <v>0.45999999999999996</v>
      </c>
      <c r="E310" s="92">
        <f t="shared" si="34"/>
        <v>1.173913043478261</v>
      </c>
      <c r="F310">
        <v>0.112</v>
      </c>
      <c r="G310" s="92">
        <f t="shared" ref="G310:G322" si="36">1/E310</f>
        <v>0.85185185185185175</v>
      </c>
      <c r="H310" s="91">
        <v>7.9000000000000001E-2</v>
      </c>
      <c r="I310">
        <v>10251</v>
      </c>
      <c r="J310" s="81">
        <f t="shared" ref="J310:J322" si="37">(A310-B324)/I310</f>
        <v>4.9751243781094523</v>
      </c>
    </row>
    <row r="311" spans="1:10" x14ac:dyDescent="0.2">
      <c r="A311" s="67">
        <v>52000</v>
      </c>
      <c r="B311" s="92">
        <f t="shared" si="33"/>
        <v>1.04</v>
      </c>
      <c r="C311" s="48">
        <v>0.55600000000000005</v>
      </c>
      <c r="D311" s="48">
        <f t="shared" si="35"/>
        <v>0.44399999999999995</v>
      </c>
      <c r="E311" s="92">
        <f t="shared" si="34"/>
        <v>1.2522522522522526</v>
      </c>
      <c r="F311">
        <v>0.157</v>
      </c>
      <c r="G311" s="92">
        <f t="shared" si="36"/>
        <v>0.7985611510791365</v>
      </c>
      <c r="H311" s="91">
        <v>0.111</v>
      </c>
      <c r="I311">
        <v>14854</v>
      </c>
      <c r="J311" s="81">
        <f t="shared" si="37"/>
        <v>3.5007405412683452</v>
      </c>
    </row>
    <row r="312" spans="1:10" x14ac:dyDescent="0.2">
      <c r="A312" s="67">
        <v>55000</v>
      </c>
      <c r="B312" s="92">
        <f t="shared" si="33"/>
        <v>1.1000000000000001</v>
      </c>
      <c r="C312" s="48">
        <v>0.58599999999999997</v>
      </c>
      <c r="D312" s="48">
        <f t="shared" si="35"/>
        <v>0.41400000000000003</v>
      </c>
      <c r="E312" s="92">
        <f t="shared" si="34"/>
        <v>1.4154589371980675</v>
      </c>
      <c r="F312">
        <v>0.24199999999999999</v>
      </c>
      <c r="G312" s="92">
        <f t="shared" si="36"/>
        <v>0.70648464163822533</v>
      </c>
      <c r="H312" s="91">
        <v>0.17299999999999999</v>
      </c>
      <c r="I312">
        <v>25204</v>
      </c>
      <c r="J312" s="81">
        <f t="shared" si="37"/>
        <v>2.182193302650373</v>
      </c>
    </row>
    <row r="313" spans="1:10" x14ac:dyDescent="0.2">
      <c r="A313" s="67">
        <v>60000</v>
      </c>
      <c r="B313" s="92">
        <f t="shared" si="33"/>
        <v>1.2</v>
      </c>
      <c r="C313" s="48">
        <v>0.61899999999999999</v>
      </c>
      <c r="D313" s="48">
        <f t="shared" si="35"/>
        <v>0.38100000000000001</v>
      </c>
      <c r="E313" s="92">
        <f t="shared" si="34"/>
        <v>1.6246719160104985</v>
      </c>
      <c r="F313" s="91">
        <v>0.33100000000000002</v>
      </c>
      <c r="G313" s="92">
        <f t="shared" si="36"/>
        <v>0.61550888529886916</v>
      </c>
      <c r="H313" s="91">
        <v>0.23699999999999999</v>
      </c>
      <c r="I313">
        <v>39799</v>
      </c>
      <c r="J313" s="81">
        <f t="shared" si="37"/>
        <v>1.5075755672253073</v>
      </c>
    </row>
    <row r="314" spans="1:10" x14ac:dyDescent="0.2">
      <c r="A314" s="67">
        <v>80000</v>
      </c>
      <c r="B314" s="92">
        <f t="shared" si="33"/>
        <v>1.6</v>
      </c>
      <c r="C314" s="48">
        <v>0.68600000000000005</v>
      </c>
      <c r="D314" s="48">
        <f t="shared" si="35"/>
        <v>0.31399999999999995</v>
      </c>
      <c r="E314" s="92">
        <f t="shared" si="34"/>
        <v>2.184713375796179</v>
      </c>
      <c r="F314" s="91">
        <v>0.50700000000000001</v>
      </c>
      <c r="G314" s="92">
        <f t="shared" si="36"/>
        <v>0.45772594752186574</v>
      </c>
      <c r="H314" s="91">
        <v>0.372</v>
      </c>
      <c r="I314">
        <v>99920</v>
      </c>
      <c r="J314" s="81">
        <f t="shared" si="37"/>
        <v>0.80064051240992795</v>
      </c>
    </row>
    <row r="315" spans="1:10" x14ac:dyDescent="0.2">
      <c r="A315" s="67">
        <v>100000</v>
      </c>
      <c r="B315" s="92">
        <f t="shared" si="33"/>
        <v>2</v>
      </c>
      <c r="C315" s="48">
        <v>0.72199999999999998</v>
      </c>
      <c r="D315" s="48">
        <f t="shared" si="35"/>
        <v>0.27800000000000002</v>
      </c>
      <c r="E315" s="92">
        <f t="shared" si="34"/>
        <v>2.5971223021582732</v>
      </c>
      <c r="F315">
        <v>0.59499999999999997</v>
      </c>
      <c r="G315" s="92">
        <f t="shared" si="36"/>
        <v>0.38504155124653744</v>
      </c>
      <c r="H315" s="91">
        <v>0.44400000000000001</v>
      </c>
      <c r="I315">
        <v>173205</v>
      </c>
      <c r="J315" s="81">
        <f t="shared" si="37"/>
        <v>0.577350538379377</v>
      </c>
    </row>
    <row r="316" spans="1:10" x14ac:dyDescent="0.2">
      <c r="A316" s="67">
        <v>150000</v>
      </c>
      <c r="B316" s="92">
        <f t="shared" si="33"/>
        <v>3</v>
      </c>
      <c r="C316" s="48">
        <v>0.77100000000000002</v>
      </c>
      <c r="D316" s="48">
        <f t="shared" si="35"/>
        <v>0.22899999999999998</v>
      </c>
      <c r="E316" s="92">
        <f t="shared" si="34"/>
        <v>3.3668122270742362</v>
      </c>
      <c r="F316">
        <v>0.70499999999999996</v>
      </c>
      <c r="G316" s="92">
        <f t="shared" ref="G316:G321" si="38">1/E316</f>
        <v>0.29701686121919579</v>
      </c>
      <c r="H316" s="91">
        <v>0.54100000000000004</v>
      </c>
      <c r="I316">
        <v>424264</v>
      </c>
      <c r="J316" s="81">
        <f t="shared" si="37"/>
        <v>0.35355344785322346</v>
      </c>
    </row>
    <row r="317" spans="1:10" x14ac:dyDescent="0.2">
      <c r="A317" s="67">
        <v>200000</v>
      </c>
      <c r="B317" s="92">
        <f t="shared" si="33"/>
        <v>4</v>
      </c>
      <c r="C317" s="48">
        <v>0.79700000000000004</v>
      </c>
      <c r="D317" s="48">
        <f t="shared" si="35"/>
        <v>0.20299999999999996</v>
      </c>
      <c r="E317" s="92">
        <f t="shared" si="34"/>
        <v>3.9261083743842375</v>
      </c>
      <c r="F317">
        <v>0.76100000000000001</v>
      </c>
      <c r="G317" s="92">
        <f t="shared" si="38"/>
        <v>0.25470514429109153</v>
      </c>
      <c r="H317" s="91">
        <v>0.59499999999999997</v>
      </c>
      <c r="I317">
        <v>774597</v>
      </c>
      <c r="J317" s="81">
        <f t="shared" si="37"/>
        <v>0.25819877949436931</v>
      </c>
    </row>
    <row r="318" spans="1:10" x14ac:dyDescent="0.2">
      <c r="A318" s="67">
        <v>300000</v>
      </c>
      <c r="B318" s="92">
        <f t="shared" si="33"/>
        <v>6</v>
      </c>
      <c r="C318" s="48">
        <v>0.82799999999999996</v>
      </c>
      <c r="D318" s="48">
        <f t="shared" si="35"/>
        <v>0.17200000000000004</v>
      </c>
      <c r="E318" s="92">
        <f t="shared" si="34"/>
        <v>4.8139534883720918</v>
      </c>
      <c r="F318">
        <v>0.81899999999999995</v>
      </c>
      <c r="G318" s="92">
        <f t="shared" si="38"/>
        <v>0.20772946859903388</v>
      </c>
      <c r="H318" s="91">
        <v>0.65600000000000003</v>
      </c>
      <c r="I318">
        <v>1774823.9349298833</v>
      </c>
      <c r="J318" s="81">
        <f t="shared" si="37"/>
        <v>0.16903085094570344</v>
      </c>
    </row>
    <row r="319" spans="1:10" x14ac:dyDescent="0.2">
      <c r="A319" s="67">
        <v>500000</v>
      </c>
      <c r="B319" s="92">
        <f t="shared" si="33"/>
        <v>10</v>
      </c>
      <c r="C319" s="48">
        <v>0.85799999999999998</v>
      </c>
      <c r="D319" s="48">
        <f t="shared" si="35"/>
        <v>0.14200000000000002</v>
      </c>
      <c r="E319" s="92">
        <f t="shared" si="34"/>
        <v>6.0422535211267601</v>
      </c>
      <c r="F319">
        <v>0.871</v>
      </c>
      <c r="G319" s="92">
        <f t="shared" si="38"/>
        <v>0.1655011655011655</v>
      </c>
      <c r="H319" s="91">
        <v>0.71699999999999997</v>
      </c>
      <c r="I319">
        <v>4974937.1855330942</v>
      </c>
      <c r="J319" s="81">
        <f t="shared" si="37"/>
        <v>0.10050378152592132</v>
      </c>
    </row>
    <row r="320" spans="1:10" x14ac:dyDescent="0.2">
      <c r="A320" s="67">
        <v>1000000</v>
      </c>
      <c r="B320" s="92">
        <f t="shared" si="33"/>
        <v>20</v>
      </c>
      <c r="C320" s="48">
        <v>0.89</v>
      </c>
      <c r="D320" s="48">
        <f t="shared" si="35"/>
        <v>0.10999999999999999</v>
      </c>
      <c r="E320" s="92">
        <f t="shared" si="34"/>
        <v>8.0909090909090917</v>
      </c>
      <c r="F320">
        <v>0.91700000000000004</v>
      </c>
      <c r="G320" s="92">
        <f t="shared" si="38"/>
        <v>0.12359550561797751</v>
      </c>
      <c r="H320" s="91">
        <v>0.77900000000000003</v>
      </c>
      <c r="I320">
        <v>19974984.355438158</v>
      </c>
      <c r="J320" s="81">
        <f t="shared" si="37"/>
        <v>5.0062617432175938E-2</v>
      </c>
    </row>
    <row r="321" spans="1:11" x14ac:dyDescent="0.2">
      <c r="A321" s="67">
        <v>2000000</v>
      </c>
      <c r="B321" s="92">
        <f t="shared" si="33"/>
        <v>40</v>
      </c>
      <c r="C321" s="48">
        <v>0.91300000000000003</v>
      </c>
      <c r="D321" s="48">
        <f t="shared" si="35"/>
        <v>8.6999999999999966E-2</v>
      </c>
      <c r="E321" s="92">
        <f t="shared" si="34"/>
        <v>10.494252873563223</v>
      </c>
      <c r="F321">
        <v>0.94499999999999995</v>
      </c>
      <c r="G321" s="92">
        <f t="shared" si="38"/>
        <v>9.5290251916757898E-2</v>
      </c>
      <c r="H321" s="91">
        <v>0.82599999999999996</v>
      </c>
      <c r="I321">
        <v>79974996.092528746</v>
      </c>
      <c r="J321" s="93">
        <f t="shared" si="37"/>
        <v>2.5007816164017791E-2</v>
      </c>
    </row>
    <row r="322" spans="1:11" x14ac:dyDescent="0.2">
      <c r="A322" s="67">
        <v>5000000</v>
      </c>
      <c r="B322" s="92">
        <f t="shared" si="33"/>
        <v>100</v>
      </c>
      <c r="C322" s="48">
        <v>0.93500000000000005</v>
      </c>
      <c r="D322" s="48">
        <f t="shared" si="35"/>
        <v>6.4999999999999947E-2</v>
      </c>
      <c r="E322" s="92">
        <f t="shared" si="34"/>
        <v>14.384615384615397</v>
      </c>
      <c r="F322">
        <v>0.96799999999999997</v>
      </c>
      <c r="G322" s="92">
        <f t="shared" si="36"/>
        <v>6.9518716577540052E-2</v>
      </c>
      <c r="H322" s="91">
        <v>0.871</v>
      </c>
      <c r="I322">
        <v>499974999.37496924</v>
      </c>
      <c r="J322" s="93">
        <f t="shared" si="37"/>
        <v>1.0000500037503116E-2</v>
      </c>
    </row>
    <row r="323" spans="1:11" x14ac:dyDescent="0.2">
      <c r="A323" s="67">
        <v>50000</v>
      </c>
      <c r="B323" s="11" t="s">
        <v>122</v>
      </c>
      <c r="D323" s="11" t="s">
        <v>121</v>
      </c>
    </row>
    <row r="326" spans="1:11" x14ac:dyDescent="0.2">
      <c r="K326" s="69"/>
    </row>
    <row r="327" spans="1:11" x14ac:dyDescent="0.2">
      <c r="K327" s="48"/>
    </row>
    <row r="328" spans="1:11" x14ac:dyDescent="0.2">
      <c r="K328" s="48"/>
    </row>
    <row r="336" spans="1:11" x14ac:dyDescent="0.2">
      <c r="B336" s="68"/>
      <c r="C336" s="67"/>
      <c r="D336" s="70"/>
      <c r="E336" s="70"/>
      <c r="G336" s="48"/>
      <c r="H336" s="48"/>
      <c r="I336" s="48"/>
      <c r="K336" s="48"/>
    </row>
    <row r="337" spans="1:11" x14ac:dyDescent="0.2">
      <c r="A337" s="48"/>
      <c r="B337" s="68"/>
      <c r="C337" s="67"/>
      <c r="D337" s="70"/>
      <c r="E337" s="70"/>
      <c r="G337" s="48"/>
      <c r="H337" s="48"/>
      <c r="I337" s="48"/>
      <c r="K337" s="48"/>
    </row>
    <row r="338" spans="1:11" x14ac:dyDescent="0.2">
      <c r="A338" s="48"/>
      <c r="B338" s="68"/>
      <c r="C338" s="67"/>
      <c r="D338" s="70"/>
      <c r="E338" s="70"/>
      <c r="G338" s="48"/>
      <c r="H338" s="48"/>
      <c r="I338" s="48"/>
      <c r="K338" s="48"/>
    </row>
    <row r="339" spans="1:11" x14ac:dyDescent="0.2">
      <c r="A339" s="48"/>
      <c r="B339" s="68"/>
      <c r="C339" s="67"/>
      <c r="D339" s="70"/>
      <c r="E339" s="70"/>
      <c r="G339" s="48"/>
      <c r="H339" s="48"/>
      <c r="I339" s="48"/>
      <c r="K339" s="48"/>
    </row>
    <row r="340" spans="1:11" x14ac:dyDescent="0.2">
      <c r="A340" s="48"/>
      <c r="B340" s="68"/>
      <c r="C340" s="67"/>
      <c r="D340" s="70"/>
      <c r="E340" s="70"/>
      <c r="G340" s="48"/>
      <c r="H340" s="48"/>
      <c r="I340" s="48"/>
      <c r="K340" s="48"/>
    </row>
    <row r="341" spans="1:11" x14ac:dyDescent="0.2">
      <c r="A341" s="48"/>
      <c r="B341" s="68"/>
      <c r="C341" s="67"/>
      <c r="D341" s="70"/>
      <c r="E341" s="70"/>
      <c r="G341" s="48"/>
      <c r="H341" s="48"/>
      <c r="I341" s="48"/>
      <c r="K341" s="48"/>
    </row>
    <row r="342" spans="1:11" x14ac:dyDescent="0.2">
      <c r="A342" s="48"/>
      <c r="B342" s="68"/>
      <c r="C342" s="67"/>
      <c r="D342" s="70"/>
      <c r="E342" s="70"/>
      <c r="G342" s="48"/>
      <c r="H342" s="48"/>
      <c r="I342" s="48"/>
      <c r="K342" s="48"/>
    </row>
    <row r="343" spans="1:11" x14ac:dyDescent="0.2">
      <c r="A343" s="48"/>
      <c r="B343" s="68"/>
      <c r="C343" s="67"/>
      <c r="D343" s="70"/>
      <c r="E343" s="70"/>
      <c r="G343" s="48"/>
      <c r="H343" s="48"/>
      <c r="I343" s="48"/>
      <c r="K343" s="48"/>
    </row>
    <row r="344" spans="1:11" x14ac:dyDescent="0.2">
      <c r="A344" s="48"/>
      <c r="B344" s="68"/>
      <c r="C344" s="67"/>
      <c r="D344" s="70"/>
      <c r="E344" s="70"/>
      <c r="G344" s="48"/>
      <c r="H344" s="48"/>
      <c r="I344" s="48"/>
      <c r="K344" s="48"/>
    </row>
    <row r="345" spans="1:11" x14ac:dyDescent="0.2">
      <c r="A345" s="48"/>
      <c r="B345" s="68"/>
      <c r="C345" s="67"/>
      <c r="D345" s="70"/>
      <c r="E345" s="70"/>
      <c r="G345" s="48"/>
      <c r="H345" s="48"/>
      <c r="I345" s="48"/>
      <c r="K345" s="48"/>
    </row>
    <row r="346" spans="1:11" x14ac:dyDescent="0.2">
      <c r="A346" s="48"/>
      <c r="B346" s="68"/>
      <c r="C346" s="67"/>
      <c r="D346" s="70"/>
      <c r="E346" s="70"/>
      <c r="G346" s="48"/>
      <c r="H346" s="48"/>
      <c r="I346" s="48"/>
      <c r="K346" s="48"/>
    </row>
    <row r="347" spans="1:11" x14ac:dyDescent="0.2">
      <c r="A347" s="48"/>
      <c r="B347" s="68"/>
      <c r="C347" s="67"/>
      <c r="D347" s="70"/>
      <c r="E347" s="70"/>
      <c r="G347" s="48"/>
      <c r="H347" s="48"/>
      <c r="I347" s="48"/>
      <c r="K347" s="48"/>
    </row>
    <row r="348" spans="1:11" x14ac:dyDescent="0.2">
      <c r="A348" s="48"/>
      <c r="B348" s="48"/>
      <c r="D348" s="48"/>
      <c r="E348" s="48"/>
    </row>
    <row r="384" spans="1:1" x14ac:dyDescent="0.2">
      <c r="A384" s="11" t="s">
        <v>74</v>
      </c>
    </row>
    <row r="385" spans="1:3" x14ac:dyDescent="0.2">
      <c r="B385" s="10" t="s">
        <v>75</v>
      </c>
    </row>
    <row r="387" spans="1:3" x14ac:dyDescent="0.2">
      <c r="A387" s="11" t="s">
        <v>81</v>
      </c>
    </row>
    <row r="388" spans="1:3" x14ac:dyDescent="0.2">
      <c r="A388" s="11" t="s">
        <v>80</v>
      </c>
    </row>
    <row r="390" spans="1:3" x14ac:dyDescent="0.2">
      <c r="A390" s="11" t="s">
        <v>78</v>
      </c>
    </row>
    <row r="392" spans="1:3" x14ac:dyDescent="0.2">
      <c r="A392" s="11" t="s">
        <v>79</v>
      </c>
    </row>
    <row r="394" spans="1:3" x14ac:dyDescent="0.2">
      <c r="A394" s="66" t="s">
        <v>54</v>
      </c>
      <c r="B394" s="68"/>
    </row>
    <row r="395" spans="1:3" x14ac:dyDescent="0.2">
      <c r="A395" s="66" t="s">
        <v>53</v>
      </c>
    </row>
    <row r="397" spans="1:3" x14ac:dyDescent="0.2">
      <c r="A397" s="11" t="s">
        <v>63</v>
      </c>
    </row>
    <row r="398" spans="1:3" x14ac:dyDescent="0.2">
      <c r="A398" s="11" t="s">
        <v>64</v>
      </c>
      <c r="C398" s="11" t="s">
        <v>65</v>
      </c>
    </row>
    <row r="399" spans="1:3" x14ac:dyDescent="0.2">
      <c r="A399" s="66" t="s">
        <v>66</v>
      </c>
    </row>
    <row r="409" spans="1:8" x14ac:dyDescent="0.2">
      <c r="A409" s="11" t="s">
        <v>82</v>
      </c>
    </row>
    <row r="411" spans="1:8" x14ac:dyDescent="0.2">
      <c r="A411" s="11" t="s">
        <v>84</v>
      </c>
      <c r="B411" s="11" t="s">
        <v>92</v>
      </c>
      <c r="H411" s="11" t="s">
        <v>85</v>
      </c>
    </row>
    <row r="412" spans="1:8" x14ac:dyDescent="0.2">
      <c r="A412" s="11" t="s">
        <v>83</v>
      </c>
      <c r="B412" s="11" t="s">
        <v>92</v>
      </c>
      <c r="H412" s="11" t="s">
        <v>86</v>
      </c>
    </row>
    <row r="414" spans="1:8" x14ac:dyDescent="0.2">
      <c r="A414" s="11" t="s">
        <v>88</v>
      </c>
      <c r="B414" s="11" t="s">
        <v>87</v>
      </c>
    </row>
    <row r="416" spans="1:8" x14ac:dyDescent="0.2">
      <c r="A416" s="11" t="s">
        <v>88</v>
      </c>
      <c r="B416" s="11" t="s">
        <v>89</v>
      </c>
    </row>
    <row r="418" spans="1:2" x14ac:dyDescent="0.2">
      <c r="A418" s="11" t="s">
        <v>90</v>
      </c>
      <c r="B418" s="11" t="s">
        <v>91</v>
      </c>
    </row>
  </sheetData>
  <sortState ref="J3:M8">
    <sortCondition ref="J2:J7"/>
  </sortState>
  <phoneticPr fontId="2" type="noConversion"/>
  <hyperlinks>
    <hyperlink ref="B2" r:id="rId1"/>
  </hyperlinks>
  <pageMargins left="0.75" right="0.75" top="1" bottom="1" header="0.5" footer="0.5"/>
  <pageSetup orientation="portrait" horizontalDpi="1200" verticalDpi="1200" r:id="rId2"/>
  <headerFooter alignWithMargins="0">
    <oddHeader>&amp;L10/18/2014&amp;C Households Distributed Log-Normally by Income
&amp;RUsing Excel 2013</oddHeader>
    <oddFooter>&amp;L&amp;F&amp;C
&amp;RMilo Schield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2014-10-20T02:13:46Z</cp:lastPrinted>
  <dcterms:created xsi:type="dcterms:W3CDTF">2013-11-01T09:20:08Z</dcterms:created>
  <dcterms:modified xsi:type="dcterms:W3CDTF">2014-11-20T14:27:37Z</dcterms:modified>
</cp:coreProperties>
</file>