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0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1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2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3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4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5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6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0\0H2014\0Bk\1Classes\1Excel\BUS379\Ch01-Predicting\XL3C-Logistic-Regress\MLE-OLS\XLSX\"/>
    </mc:Choice>
  </mc:AlternateContent>
  <bookViews>
    <workbookView xWindow="360" yWindow="120" windowWidth="14295" windowHeight="6780"/>
  </bookViews>
  <sheets>
    <sheet name="1Male|Ht" sheetId="17" r:id="rId1"/>
    <sheet name="2Male|Wt" sheetId="15" r:id="rId2"/>
    <sheet name="3Male|P1" sheetId="16" r:id="rId3"/>
    <sheet name="4Pulse Data" sheetId="1" r:id="rId4"/>
  </sheets>
  <definedNames>
    <definedName name="solver_adj" localSheetId="0" hidden="1">'1Male|Ht'!$D$3:$E$3</definedName>
    <definedName name="solver_adj" localSheetId="1" hidden="1">'2Male|Wt'!$D$3:$E$3</definedName>
    <definedName name="solver_adj" localSheetId="2" hidden="1">'3Male|P1'!$D$3:$E$3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2</definedName>
    <definedName name="solver_drv" localSheetId="1" hidden="1">2</definedName>
    <definedName name="solver_drv" localSheetId="2" hidden="1">2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'1Male|Ht'!$E$5</definedName>
    <definedName name="solver_opt" localSheetId="1" hidden="1">'2Male|Wt'!$E$5</definedName>
    <definedName name="solver_opt" localSheetId="2" hidden="1">'3Male|P1'!$E$5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2</definedName>
    <definedName name="solver_rbv" localSheetId="1" hidden="1">2</definedName>
    <definedName name="solver_rbv" localSheetId="2" hidden="1">2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52511"/>
</workbook>
</file>

<file path=xl/calcChain.xml><?xml version="1.0" encoding="utf-8"?>
<calcChain xmlns="http://schemas.openxmlformats.org/spreadsheetml/2006/main">
  <c r="S23" i="17" l="1"/>
  <c r="O94" i="17" l="1"/>
  <c r="N94" i="17"/>
  <c r="H94" i="17"/>
  <c r="I94" i="17" s="1"/>
  <c r="J94" i="17" s="1"/>
  <c r="K94" i="17" s="1"/>
  <c r="L94" i="17" s="1"/>
  <c r="AY93" i="17"/>
  <c r="AZ93" i="17" s="1"/>
  <c r="BA93" i="17" s="1"/>
  <c r="AU93" i="17"/>
  <c r="AV93" i="17" s="1"/>
  <c r="O93" i="17"/>
  <c r="N93" i="17"/>
  <c r="H93" i="17"/>
  <c r="I93" i="17" s="1"/>
  <c r="J93" i="17" s="1"/>
  <c r="K93" i="17" s="1"/>
  <c r="L93" i="17" s="1"/>
  <c r="AY92" i="17"/>
  <c r="AZ92" i="17" s="1"/>
  <c r="BA92" i="17" s="1"/>
  <c r="AU92" i="17"/>
  <c r="O92" i="17"/>
  <c r="N92" i="17"/>
  <c r="H92" i="17"/>
  <c r="I92" i="17" s="1"/>
  <c r="J92" i="17" s="1"/>
  <c r="K92" i="17" s="1"/>
  <c r="L92" i="17" s="1"/>
  <c r="AY91" i="17"/>
  <c r="AZ91" i="17" s="1"/>
  <c r="BA91" i="17" s="1"/>
  <c r="AU91" i="17"/>
  <c r="O91" i="17"/>
  <c r="N91" i="17"/>
  <c r="H91" i="17"/>
  <c r="I91" i="17" s="1"/>
  <c r="J91" i="17" s="1"/>
  <c r="K91" i="17" s="1"/>
  <c r="L91" i="17" s="1"/>
  <c r="AY90" i="17"/>
  <c r="AZ90" i="17" s="1"/>
  <c r="BA90" i="17" s="1"/>
  <c r="AU90" i="17"/>
  <c r="O90" i="17"/>
  <c r="N90" i="17"/>
  <c r="H90" i="17"/>
  <c r="I90" i="17" s="1"/>
  <c r="J90" i="17" s="1"/>
  <c r="K90" i="17" s="1"/>
  <c r="L90" i="17" s="1"/>
  <c r="AY89" i="17"/>
  <c r="AZ89" i="17" s="1"/>
  <c r="BA89" i="17" s="1"/>
  <c r="AU89" i="17"/>
  <c r="AV89" i="17" s="1"/>
  <c r="O89" i="17"/>
  <c r="N89" i="17"/>
  <c r="H89" i="17"/>
  <c r="I89" i="17" s="1"/>
  <c r="J89" i="17" s="1"/>
  <c r="K89" i="17" s="1"/>
  <c r="L89" i="17" s="1"/>
  <c r="AY88" i="17"/>
  <c r="AZ88" i="17" s="1"/>
  <c r="BA88" i="17" s="1"/>
  <c r="AU88" i="17"/>
  <c r="O88" i="17"/>
  <c r="N88" i="17"/>
  <c r="H88" i="17"/>
  <c r="I88" i="17" s="1"/>
  <c r="J88" i="17" s="1"/>
  <c r="K88" i="17" s="1"/>
  <c r="L88" i="17" s="1"/>
  <c r="AY87" i="17"/>
  <c r="AZ87" i="17" s="1"/>
  <c r="BA87" i="17" s="1"/>
  <c r="AU87" i="17"/>
  <c r="AV87" i="17" s="1"/>
  <c r="O87" i="17"/>
  <c r="N87" i="17"/>
  <c r="H87" i="17"/>
  <c r="I87" i="17" s="1"/>
  <c r="J87" i="17" s="1"/>
  <c r="K87" i="17" s="1"/>
  <c r="L87" i="17" s="1"/>
  <c r="AY86" i="17"/>
  <c r="AZ86" i="17" s="1"/>
  <c r="BA86" i="17" s="1"/>
  <c r="AU86" i="17"/>
  <c r="O86" i="17"/>
  <c r="N86" i="17"/>
  <c r="H86" i="17"/>
  <c r="I86" i="17" s="1"/>
  <c r="J86" i="17" s="1"/>
  <c r="K86" i="17" s="1"/>
  <c r="L86" i="17" s="1"/>
  <c r="AY85" i="17"/>
  <c r="AZ85" i="17" s="1"/>
  <c r="BA85" i="17" s="1"/>
  <c r="AU85" i="17"/>
  <c r="O85" i="17"/>
  <c r="N85" i="17"/>
  <c r="H85" i="17"/>
  <c r="I85" i="17" s="1"/>
  <c r="J85" i="17" s="1"/>
  <c r="K85" i="17" s="1"/>
  <c r="L85" i="17" s="1"/>
  <c r="AY84" i="17"/>
  <c r="AZ84" i="17" s="1"/>
  <c r="BA84" i="17" s="1"/>
  <c r="AU84" i="17"/>
  <c r="O84" i="17"/>
  <c r="N84" i="17"/>
  <c r="H84" i="17"/>
  <c r="I84" i="17" s="1"/>
  <c r="J84" i="17" s="1"/>
  <c r="K84" i="17" s="1"/>
  <c r="L84" i="17" s="1"/>
  <c r="AY83" i="17"/>
  <c r="AZ83" i="17" s="1"/>
  <c r="BA83" i="17" s="1"/>
  <c r="AU83" i="17"/>
  <c r="O83" i="17"/>
  <c r="N83" i="17"/>
  <c r="H83" i="17"/>
  <c r="I83" i="17" s="1"/>
  <c r="J83" i="17" s="1"/>
  <c r="K83" i="17" s="1"/>
  <c r="L83" i="17" s="1"/>
  <c r="AY82" i="17"/>
  <c r="AZ82" i="17" s="1"/>
  <c r="BA82" i="17" s="1"/>
  <c r="AU82" i="17"/>
  <c r="O82" i="17"/>
  <c r="N82" i="17"/>
  <c r="H82" i="17"/>
  <c r="I82" i="17" s="1"/>
  <c r="J82" i="17" s="1"/>
  <c r="K82" i="17" s="1"/>
  <c r="L82" i="17" s="1"/>
  <c r="AY81" i="17"/>
  <c r="AZ81" i="17" s="1"/>
  <c r="BA81" i="17" s="1"/>
  <c r="AU81" i="17"/>
  <c r="O81" i="17"/>
  <c r="N81" i="17"/>
  <c r="H81" i="17"/>
  <c r="I81" i="17" s="1"/>
  <c r="J81" i="17" s="1"/>
  <c r="K81" i="17" s="1"/>
  <c r="L81" i="17" s="1"/>
  <c r="AY80" i="17"/>
  <c r="AZ80" i="17" s="1"/>
  <c r="BA80" i="17" s="1"/>
  <c r="AU80" i="17"/>
  <c r="AV80" i="17" s="1"/>
  <c r="O80" i="17"/>
  <c r="N80" i="17"/>
  <c r="H80" i="17"/>
  <c r="I80" i="17" s="1"/>
  <c r="J80" i="17" s="1"/>
  <c r="K80" i="17" s="1"/>
  <c r="L80" i="17" s="1"/>
  <c r="AY79" i="17"/>
  <c r="AZ79" i="17" s="1"/>
  <c r="BA79" i="17" s="1"/>
  <c r="AU79" i="17"/>
  <c r="O79" i="17"/>
  <c r="N79" i="17"/>
  <c r="H79" i="17"/>
  <c r="I79" i="17" s="1"/>
  <c r="J79" i="17" s="1"/>
  <c r="K79" i="17" s="1"/>
  <c r="L79" i="17" s="1"/>
  <c r="AY78" i="17"/>
  <c r="AZ78" i="17" s="1"/>
  <c r="BA78" i="17" s="1"/>
  <c r="AU78" i="17"/>
  <c r="O78" i="17"/>
  <c r="N78" i="17"/>
  <c r="H78" i="17"/>
  <c r="I78" i="17" s="1"/>
  <c r="J78" i="17" s="1"/>
  <c r="K78" i="17" s="1"/>
  <c r="L78" i="17" s="1"/>
  <c r="AY77" i="17"/>
  <c r="AZ77" i="17" s="1"/>
  <c r="BA77" i="17" s="1"/>
  <c r="AU77" i="17"/>
  <c r="O77" i="17"/>
  <c r="N77" i="17"/>
  <c r="H77" i="17"/>
  <c r="I77" i="17" s="1"/>
  <c r="J77" i="17" s="1"/>
  <c r="K77" i="17" s="1"/>
  <c r="L77" i="17" s="1"/>
  <c r="AY76" i="17"/>
  <c r="AZ76" i="17" s="1"/>
  <c r="BA76" i="17" s="1"/>
  <c r="AU76" i="17"/>
  <c r="AV76" i="17" s="1"/>
  <c r="O76" i="17"/>
  <c r="N76" i="17"/>
  <c r="H76" i="17"/>
  <c r="I76" i="17" s="1"/>
  <c r="J76" i="17" s="1"/>
  <c r="K76" i="17" s="1"/>
  <c r="L76" i="17" s="1"/>
  <c r="AY75" i="17"/>
  <c r="AZ75" i="17" s="1"/>
  <c r="BA75" i="17" s="1"/>
  <c r="AU75" i="17"/>
  <c r="AV75" i="17" s="1"/>
  <c r="O75" i="17"/>
  <c r="N75" i="17"/>
  <c r="H75" i="17"/>
  <c r="I75" i="17" s="1"/>
  <c r="J75" i="17" s="1"/>
  <c r="K75" i="17" s="1"/>
  <c r="L75" i="17" s="1"/>
  <c r="AY74" i="17"/>
  <c r="AZ74" i="17" s="1"/>
  <c r="BA74" i="17" s="1"/>
  <c r="AU74" i="17"/>
  <c r="O74" i="17"/>
  <c r="N74" i="17"/>
  <c r="H74" i="17"/>
  <c r="I74" i="17" s="1"/>
  <c r="J74" i="17" s="1"/>
  <c r="K74" i="17" s="1"/>
  <c r="L74" i="17" s="1"/>
  <c r="AY73" i="17"/>
  <c r="AZ73" i="17" s="1"/>
  <c r="BA73" i="17" s="1"/>
  <c r="AU73" i="17"/>
  <c r="AV73" i="17" s="1"/>
  <c r="O73" i="17"/>
  <c r="N73" i="17"/>
  <c r="H73" i="17"/>
  <c r="I73" i="17" s="1"/>
  <c r="J73" i="17" s="1"/>
  <c r="K73" i="17" s="1"/>
  <c r="L73" i="17" s="1"/>
  <c r="AY72" i="17"/>
  <c r="AZ72" i="17" s="1"/>
  <c r="BA72" i="17" s="1"/>
  <c r="AU72" i="17"/>
  <c r="O72" i="17"/>
  <c r="N72" i="17"/>
  <c r="H72" i="17"/>
  <c r="I72" i="17" s="1"/>
  <c r="J72" i="17" s="1"/>
  <c r="K72" i="17" s="1"/>
  <c r="L72" i="17" s="1"/>
  <c r="AY71" i="17"/>
  <c r="AZ71" i="17" s="1"/>
  <c r="BA71" i="17" s="1"/>
  <c r="AU71" i="17"/>
  <c r="O71" i="17"/>
  <c r="N71" i="17"/>
  <c r="H71" i="17"/>
  <c r="I71" i="17" s="1"/>
  <c r="J71" i="17" s="1"/>
  <c r="K71" i="17" s="1"/>
  <c r="L71" i="17" s="1"/>
  <c r="AY70" i="17"/>
  <c r="AZ70" i="17" s="1"/>
  <c r="BA70" i="17" s="1"/>
  <c r="AU70" i="17"/>
  <c r="AV70" i="17" s="1"/>
  <c r="O70" i="17"/>
  <c r="N70" i="17"/>
  <c r="H70" i="17"/>
  <c r="I70" i="17" s="1"/>
  <c r="J70" i="17" s="1"/>
  <c r="K70" i="17" s="1"/>
  <c r="L70" i="17" s="1"/>
  <c r="AY69" i="17"/>
  <c r="AZ69" i="17" s="1"/>
  <c r="BA69" i="17" s="1"/>
  <c r="AU69" i="17"/>
  <c r="O69" i="17"/>
  <c r="N69" i="17"/>
  <c r="H69" i="17"/>
  <c r="I69" i="17" s="1"/>
  <c r="J69" i="17" s="1"/>
  <c r="K69" i="17" s="1"/>
  <c r="L69" i="17" s="1"/>
  <c r="AY68" i="17"/>
  <c r="AZ68" i="17" s="1"/>
  <c r="BA68" i="17" s="1"/>
  <c r="AU68" i="17"/>
  <c r="O68" i="17"/>
  <c r="N68" i="17"/>
  <c r="H68" i="17"/>
  <c r="I68" i="17" s="1"/>
  <c r="J68" i="17" s="1"/>
  <c r="K68" i="17" s="1"/>
  <c r="L68" i="17" s="1"/>
  <c r="AY67" i="17"/>
  <c r="AZ67" i="17" s="1"/>
  <c r="BA67" i="17" s="1"/>
  <c r="AU67" i="17"/>
  <c r="AV67" i="17" s="1"/>
  <c r="O67" i="17"/>
  <c r="N67" i="17"/>
  <c r="H67" i="17"/>
  <c r="I67" i="17" s="1"/>
  <c r="J67" i="17" s="1"/>
  <c r="K67" i="17" s="1"/>
  <c r="L67" i="17" s="1"/>
  <c r="AY66" i="17"/>
  <c r="AZ66" i="17" s="1"/>
  <c r="BA66" i="17" s="1"/>
  <c r="AU66" i="17"/>
  <c r="O66" i="17"/>
  <c r="N66" i="17"/>
  <c r="H66" i="17"/>
  <c r="I66" i="17" s="1"/>
  <c r="J66" i="17" s="1"/>
  <c r="K66" i="17" s="1"/>
  <c r="L66" i="17" s="1"/>
  <c r="AY65" i="17"/>
  <c r="AZ65" i="17" s="1"/>
  <c r="BA65" i="17" s="1"/>
  <c r="AU65" i="17"/>
  <c r="O65" i="17"/>
  <c r="N65" i="17"/>
  <c r="H65" i="17"/>
  <c r="I65" i="17" s="1"/>
  <c r="J65" i="17" s="1"/>
  <c r="K65" i="17" s="1"/>
  <c r="L65" i="17" s="1"/>
  <c r="E65" i="17"/>
  <c r="AY64" i="17"/>
  <c r="AZ64" i="17" s="1"/>
  <c r="BA64" i="17" s="1"/>
  <c r="AU64" i="17"/>
  <c r="O64" i="17"/>
  <c r="N64" i="17"/>
  <c r="H64" i="17"/>
  <c r="I64" i="17" s="1"/>
  <c r="J64" i="17" s="1"/>
  <c r="K64" i="17" s="1"/>
  <c r="L64" i="17" s="1"/>
  <c r="E64" i="17"/>
  <c r="AY63" i="17"/>
  <c r="AZ63" i="17" s="1"/>
  <c r="BA63" i="17" s="1"/>
  <c r="AU63" i="17"/>
  <c r="AV63" i="17" s="1"/>
  <c r="O63" i="17"/>
  <c r="N63" i="17"/>
  <c r="H63" i="17"/>
  <c r="I63" i="17" s="1"/>
  <c r="J63" i="17" s="1"/>
  <c r="K63" i="17" s="1"/>
  <c r="L63" i="17" s="1"/>
  <c r="E63" i="17"/>
  <c r="AY62" i="17"/>
  <c r="AZ62" i="17" s="1"/>
  <c r="BA62" i="17" s="1"/>
  <c r="AU62" i="17"/>
  <c r="O62" i="17"/>
  <c r="N62" i="17"/>
  <c r="H62" i="17"/>
  <c r="I62" i="17" s="1"/>
  <c r="J62" i="17" s="1"/>
  <c r="K62" i="17" s="1"/>
  <c r="L62" i="17" s="1"/>
  <c r="E62" i="17"/>
  <c r="AY61" i="17"/>
  <c r="AZ61" i="17" s="1"/>
  <c r="BA61" i="17" s="1"/>
  <c r="AU61" i="17"/>
  <c r="O61" i="17"/>
  <c r="N61" i="17"/>
  <c r="H61" i="17"/>
  <c r="I61" i="17" s="1"/>
  <c r="J61" i="17" s="1"/>
  <c r="K61" i="17" s="1"/>
  <c r="L61" i="17" s="1"/>
  <c r="E61" i="17"/>
  <c r="AY60" i="17"/>
  <c r="AZ60" i="17" s="1"/>
  <c r="BA60" i="17" s="1"/>
  <c r="AU60" i="17"/>
  <c r="O60" i="17"/>
  <c r="N60" i="17"/>
  <c r="H60" i="17"/>
  <c r="I60" i="17" s="1"/>
  <c r="J60" i="17" s="1"/>
  <c r="K60" i="17" s="1"/>
  <c r="L60" i="17" s="1"/>
  <c r="AY59" i="17"/>
  <c r="AZ59" i="17" s="1"/>
  <c r="BA59" i="17" s="1"/>
  <c r="AU59" i="17"/>
  <c r="O59" i="17"/>
  <c r="N59" i="17"/>
  <c r="H59" i="17"/>
  <c r="I59" i="17" s="1"/>
  <c r="J59" i="17" s="1"/>
  <c r="K59" i="17" s="1"/>
  <c r="L59" i="17" s="1"/>
  <c r="AY58" i="17"/>
  <c r="AZ58" i="17" s="1"/>
  <c r="BA58" i="17" s="1"/>
  <c r="AU58" i="17"/>
  <c r="O58" i="17"/>
  <c r="N58" i="17"/>
  <c r="H58" i="17"/>
  <c r="I58" i="17" s="1"/>
  <c r="J58" i="17" s="1"/>
  <c r="K58" i="17" s="1"/>
  <c r="L58" i="17" s="1"/>
  <c r="AY57" i="17"/>
  <c r="AZ57" i="17" s="1"/>
  <c r="BA57" i="17" s="1"/>
  <c r="AU57" i="17"/>
  <c r="AV57" i="17" s="1"/>
  <c r="O57" i="17"/>
  <c r="N57" i="17"/>
  <c r="H57" i="17"/>
  <c r="I57" i="17" s="1"/>
  <c r="J57" i="17" s="1"/>
  <c r="K57" i="17" s="1"/>
  <c r="L57" i="17" s="1"/>
  <c r="AY56" i="17"/>
  <c r="AZ56" i="17" s="1"/>
  <c r="BA56" i="17" s="1"/>
  <c r="AU56" i="17"/>
  <c r="AV56" i="17" s="1"/>
  <c r="O56" i="17"/>
  <c r="N56" i="17"/>
  <c r="H56" i="17"/>
  <c r="I56" i="17" s="1"/>
  <c r="J56" i="17" s="1"/>
  <c r="K56" i="17" s="1"/>
  <c r="L56" i="17" s="1"/>
  <c r="AY55" i="17"/>
  <c r="AZ55" i="17" s="1"/>
  <c r="BA55" i="17" s="1"/>
  <c r="AU55" i="17"/>
  <c r="Q55" i="17"/>
  <c r="R55" i="17" s="1"/>
  <c r="S55" i="17" s="1"/>
  <c r="T55" i="17" s="1"/>
  <c r="O55" i="17"/>
  <c r="N55" i="17"/>
  <c r="H55" i="17"/>
  <c r="I55" i="17" s="1"/>
  <c r="J55" i="17" s="1"/>
  <c r="K55" i="17" s="1"/>
  <c r="L55" i="17" s="1"/>
  <c r="D55" i="17"/>
  <c r="AY54" i="17"/>
  <c r="AZ54" i="17" s="1"/>
  <c r="BA54" i="17" s="1"/>
  <c r="AU54" i="17"/>
  <c r="Q54" i="17"/>
  <c r="R54" i="17" s="1"/>
  <c r="S54" i="17" s="1"/>
  <c r="T54" i="17" s="1"/>
  <c r="O54" i="17"/>
  <c r="N54" i="17"/>
  <c r="H54" i="17"/>
  <c r="I54" i="17" s="1"/>
  <c r="J54" i="17" s="1"/>
  <c r="K54" i="17" s="1"/>
  <c r="L54" i="17" s="1"/>
  <c r="D54" i="17"/>
  <c r="AY53" i="17"/>
  <c r="AZ53" i="17" s="1"/>
  <c r="BA53" i="17" s="1"/>
  <c r="AU53" i="17"/>
  <c r="AV53" i="17" s="1"/>
  <c r="T53" i="17"/>
  <c r="S53" i="17"/>
  <c r="R53" i="17"/>
  <c r="O53" i="17"/>
  <c r="N53" i="17"/>
  <c r="H53" i="17"/>
  <c r="I53" i="17" s="1"/>
  <c r="J53" i="17" s="1"/>
  <c r="K53" i="17" s="1"/>
  <c r="L53" i="17" s="1"/>
  <c r="AY52" i="17"/>
  <c r="AZ52" i="17" s="1"/>
  <c r="BA52" i="17" s="1"/>
  <c r="AU52" i="17"/>
  <c r="AV52" i="17" s="1"/>
  <c r="O52" i="17"/>
  <c r="N52" i="17"/>
  <c r="H52" i="17"/>
  <c r="I52" i="17" s="1"/>
  <c r="J52" i="17" s="1"/>
  <c r="K52" i="17" s="1"/>
  <c r="L52" i="17" s="1"/>
  <c r="AY51" i="17"/>
  <c r="AZ51" i="17" s="1"/>
  <c r="BA51" i="17" s="1"/>
  <c r="AU51" i="17"/>
  <c r="AV51" i="17" s="1"/>
  <c r="O51" i="17"/>
  <c r="N51" i="17"/>
  <c r="H51" i="17"/>
  <c r="I51" i="17" s="1"/>
  <c r="J51" i="17" s="1"/>
  <c r="K51" i="17" s="1"/>
  <c r="L51" i="17" s="1"/>
  <c r="E51" i="17"/>
  <c r="AY50" i="17"/>
  <c r="AZ50" i="17" s="1"/>
  <c r="BA50" i="17" s="1"/>
  <c r="AU50" i="17"/>
  <c r="O50" i="17"/>
  <c r="N50" i="17"/>
  <c r="H50" i="17"/>
  <c r="I50" i="17" s="1"/>
  <c r="J50" i="17" s="1"/>
  <c r="K50" i="17" s="1"/>
  <c r="L50" i="17" s="1"/>
  <c r="E50" i="17"/>
  <c r="AY49" i="17"/>
  <c r="AZ49" i="17" s="1"/>
  <c r="BA49" i="17" s="1"/>
  <c r="AU49" i="17"/>
  <c r="O49" i="17"/>
  <c r="N49" i="17"/>
  <c r="H49" i="17"/>
  <c r="I49" i="17" s="1"/>
  <c r="J49" i="17" s="1"/>
  <c r="K49" i="17" s="1"/>
  <c r="L49" i="17" s="1"/>
  <c r="AY48" i="17"/>
  <c r="AZ48" i="17" s="1"/>
  <c r="BA48" i="17" s="1"/>
  <c r="AU48" i="17"/>
  <c r="O48" i="17"/>
  <c r="N48" i="17"/>
  <c r="H48" i="17"/>
  <c r="I48" i="17" s="1"/>
  <c r="J48" i="17" s="1"/>
  <c r="K48" i="17" s="1"/>
  <c r="L48" i="17" s="1"/>
  <c r="AY47" i="17"/>
  <c r="AZ47" i="17" s="1"/>
  <c r="BA47" i="17" s="1"/>
  <c r="AU47" i="17"/>
  <c r="AV47" i="17" s="1"/>
  <c r="O47" i="17"/>
  <c r="N47" i="17"/>
  <c r="H47" i="17"/>
  <c r="I47" i="17" s="1"/>
  <c r="J47" i="17" s="1"/>
  <c r="K47" i="17" s="1"/>
  <c r="L47" i="17" s="1"/>
  <c r="AY46" i="17"/>
  <c r="AZ46" i="17" s="1"/>
  <c r="BA46" i="17" s="1"/>
  <c r="AU46" i="17"/>
  <c r="O46" i="17"/>
  <c r="N46" i="17"/>
  <c r="H46" i="17"/>
  <c r="I46" i="17" s="1"/>
  <c r="J46" i="17" s="1"/>
  <c r="K46" i="17" s="1"/>
  <c r="L46" i="17" s="1"/>
  <c r="AY45" i="17"/>
  <c r="AZ45" i="17" s="1"/>
  <c r="BA45" i="17" s="1"/>
  <c r="AU45" i="17"/>
  <c r="O45" i="17"/>
  <c r="N45" i="17"/>
  <c r="H45" i="17"/>
  <c r="I45" i="17" s="1"/>
  <c r="J45" i="17" s="1"/>
  <c r="K45" i="17" s="1"/>
  <c r="L45" i="17" s="1"/>
  <c r="AY44" i="17"/>
  <c r="AZ44" i="17" s="1"/>
  <c r="BA44" i="17" s="1"/>
  <c r="AU44" i="17"/>
  <c r="O44" i="17"/>
  <c r="N44" i="17"/>
  <c r="H44" i="17"/>
  <c r="I44" i="17" s="1"/>
  <c r="J44" i="17" s="1"/>
  <c r="K44" i="17" s="1"/>
  <c r="L44" i="17" s="1"/>
  <c r="AY43" i="17"/>
  <c r="AZ43" i="17" s="1"/>
  <c r="BA43" i="17" s="1"/>
  <c r="AU43" i="17"/>
  <c r="O43" i="17"/>
  <c r="N43" i="17"/>
  <c r="H43" i="17"/>
  <c r="I43" i="17" s="1"/>
  <c r="J43" i="17" s="1"/>
  <c r="K43" i="17" s="1"/>
  <c r="L43" i="17" s="1"/>
  <c r="AY42" i="17"/>
  <c r="AZ42" i="17" s="1"/>
  <c r="BA42" i="17" s="1"/>
  <c r="AU42" i="17"/>
  <c r="AV42" i="17" s="1"/>
  <c r="O42" i="17"/>
  <c r="N42" i="17"/>
  <c r="H42" i="17"/>
  <c r="I42" i="17" s="1"/>
  <c r="J42" i="17" s="1"/>
  <c r="K42" i="17" s="1"/>
  <c r="L42" i="17" s="1"/>
  <c r="AY41" i="17"/>
  <c r="AZ41" i="17" s="1"/>
  <c r="BA41" i="17" s="1"/>
  <c r="AU41" i="17"/>
  <c r="O41" i="17"/>
  <c r="N41" i="17"/>
  <c r="H41" i="17"/>
  <c r="I41" i="17" s="1"/>
  <c r="J41" i="17" s="1"/>
  <c r="K41" i="17" s="1"/>
  <c r="L41" i="17" s="1"/>
  <c r="AY40" i="17"/>
  <c r="AZ40" i="17" s="1"/>
  <c r="BA40" i="17" s="1"/>
  <c r="AU40" i="17"/>
  <c r="AV40" i="17" s="1"/>
  <c r="O40" i="17"/>
  <c r="N40" i="17"/>
  <c r="H40" i="17"/>
  <c r="I40" i="17" s="1"/>
  <c r="J40" i="17" s="1"/>
  <c r="K40" i="17" s="1"/>
  <c r="L40" i="17" s="1"/>
  <c r="D40" i="17"/>
  <c r="Q57" i="17" s="1"/>
  <c r="R57" i="17" s="1"/>
  <c r="S57" i="17" s="1"/>
  <c r="T57" i="17" s="1"/>
  <c r="AY39" i="17"/>
  <c r="AZ39" i="17" s="1"/>
  <c r="BA39" i="17" s="1"/>
  <c r="AU39" i="17"/>
  <c r="AV39" i="17" s="1"/>
  <c r="O39" i="17"/>
  <c r="N39" i="17"/>
  <c r="H39" i="17"/>
  <c r="I39" i="17" s="1"/>
  <c r="J39" i="17" s="1"/>
  <c r="K39" i="17" s="1"/>
  <c r="L39" i="17" s="1"/>
  <c r="D39" i="17"/>
  <c r="AY38" i="17"/>
  <c r="AZ38" i="17" s="1"/>
  <c r="BA38" i="17" s="1"/>
  <c r="AU38" i="17"/>
  <c r="AV38" i="17" s="1"/>
  <c r="O38" i="17"/>
  <c r="N38" i="17"/>
  <c r="H38" i="17"/>
  <c r="I38" i="17" s="1"/>
  <c r="J38" i="17" s="1"/>
  <c r="K38" i="17" s="1"/>
  <c r="L38" i="17" s="1"/>
  <c r="AY37" i="17"/>
  <c r="AZ37" i="17" s="1"/>
  <c r="BA37" i="17" s="1"/>
  <c r="AU37" i="17"/>
  <c r="O37" i="17"/>
  <c r="N37" i="17"/>
  <c r="H37" i="17"/>
  <c r="I37" i="17" s="1"/>
  <c r="J37" i="17" s="1"/>
  <c r="K37" i="17" s="1"/>
  <c r="L37" i="17" s="1"/>
  <c r="AY36" i="17"/>
  <c r="AZ36" i="17" s="1"/>
  <c r="BA36" i="17" s="1"/>
  <c r="AU36" i="17"/>
  <c r="O36" i="17"/>
  <c r="N36" i="17"/>
  <c r="H36" i="17"/>
  <c r="I36" i="17" s="1"/>
  <c r="J36" i="17" s="1"/>
  <c r="K36" i="17" s="1"/>
  <c r="L36" i="17" s="1"/>
  <c r="AY35" i="17"/>
  <c r="AZ35" i="17" s="1"/>
  <c r="BA35" i="17" s="1"/>
  <c r="AU35" i="17"/>
  <c r="O35" i="17"/>
  <c r="N35" i="17"/>
  <c r="H35" i="17"/>
  <c r="I35" i="17" s="1"/>
  <c r="J35" i="17" s="1"/>
  <c r="K35" i="17" s="1"/>
  <c r="L35" i="17" s="1"/>
  <c r="AY34" i="17"/>
  <c r="AZ34" i="17" s="1"/>
  <c r="BA34" i="17" s="1"/>
  <c r="AU34" i="17"/>
  <c r="O34" i="17"/>
  <c r="N34" i="17"/>
  <c r="H34" i="17"/>
  <c r="I34" i="17" s="1"/>
  <c r="J34" i="17" s="1"/>
  <c r="K34" i="17" s="1"/>
  <c r="L34" i="17" s="1"/>
  <c r="AY33" i="17"/>
  <c r="AZ33" i="17" s="1"/>
  <c r="BA33" i="17" s="1"/>
  <c r="AU33" i="17"/>
  <c r="AV33" i="17" s="1"/>
  <c r="O33" i="17"/>
  <c r="N33" i="17"/>
  <c r="H33" i="17"/>
  <c r="I33" i="17" s="1"/>
  <c r="J33" i="17" s="1"/>
  <c r="K33" i="17" s="1"/>
  <c r="L33" i="17" s="1"/>
  <c r="AY32" i="17"/>
  <c r="AZ32" i="17" s="1"/>
  <c r="BA32" i="17" s="1"/>
  <c r="AU32" i="17"/>
  <c r="O32" i="17"/>
  <c r="N32" i="17"/>
  <c r="H32" i="17"/>
  <c r="I32" i="17" s="1"/>
  <c r="J32" i="17" s="1"/>
  <c r="K32" i="17" s="1"/>
  <c r="L32" i="17" s="1"/>
  <c r="AY31" i="17"/>
  <c r="AZ31" i="17" s="1"/>
  <c r="BA31" i="17" s="1"/>
  <c r="AU31" i="17"/>
  <c r="AV31" i="17" s="1"/>
  <c r="O31" i="17"/>
  <c r="N31" i="17"/>
  <c r="H31" i="17"/>
  <c r="I31" i="17" s="1"/>
  <c r="J31" i="17" s="1"/>
  <c r="K31" i="17" s="1"/>
  <c r="L31" i="17" s="1"/>
  <c r="AY30" i="17"/>
  <c r="AZ30" i="17" s="1"/>
  <c r="BA30" i="17" s="1"/>
  <c r="AU30" i="17"/>
  <c r="AV30" i="17" s="1"/>
  <c r="O30" i="17"/>
  <c r="N30" i="17"/>
  <c r="H30" i="17"/>
  <c r="I30" i="17" s="1"/>
  <c r="J30" i="17" s="1"/>
  <c r="K30" i="17" s="1"/>
  <c r="L30" i="17" s="1"/>
  <c r="D30" i="17"/>
  <c r="D57" i="17" s="1"/>
  <c r="AY29" i="17"/>
  <c r="AZ29" i="17" s="1"/>
  <c r="BA29" i="17" s="1"/>
  <c r="AU29" i="17"/>
  <c r="AV29" i="17" s="1"/>
  <c r="O29" i="17"/>
  <c r="N29" i="17"/>
  <c r="H29" i="17"/>
  <c r="I29" i="17" s="1"/>
  <c r="J29" i="17" s="1"/>
  <c r="K29" i="17" s="1"/>
  <c r="L29" i="17" s="1"/>
  <c r="D29" i="17"/>
  <c r="D33" i="17" s="1"/>
  <c r="AY28" i="17"/>
  <c r="AZ28" i="17" s="1"/>
  <c r="BA28" i="17" s="1"/>
  <c r="AU28" i="17"/>
  <c r="O28" i="17"/>
  <c r="N28" i="17"/>
  <c r="H28" i="17"/>
  <c r="I28" i="17" s="1"/>
  <c r="J28" i="17" s="1"/>
  <c r="K28" i="17" s="1"/>
  <c r="L28" i="17" s="1"/>
  <c r="AY27" i="17"/>
  <c r="AZ27" i="17" s="1"/>
  <c r="BA27" i="17" s="1"/>
  <c r="AU27" i="17"/>
  <c r="AV27" i="17" s="1"/>
  <c r="O27" i="17"/>
  <c r="N27" i="17"/>
  <c r="H27" i="17"/>
  <c r="I27" i="17" s="1"/>
  <c r="J27" i="17" s="1"/>
  <c r="K27" i="17" s="1"/>
  <c r="L27" i="17" s="1"/>
  <c r="AY26" i="17"/>
  <c r="AZ26" i="17" s="1"/>
  <c r="BA26" i="17" s="1"/>
  <c r="AU26" i="17"/>
  <c r="AV26" i="17" s="1"/>
  <c r="O26" i="17"/>
  <c r="N26" i="17"/>
  <c r="H26" i="17"/>
  <c r="I26" i="17" s="1"/>
  <c r="J26" i="17" s="1"/>
  <c r="K26" i="17" s="1"/>
  <c r="L26" i="17" s="1"/>
  <c r="D26" i="17"/>
  <c r="AY25" i="17"/>
  <c r="AZ25" i="17" s="1"/>
  <c r="BA25" i="17" s="1"/>
  <c r="AU25" i="17"/>
  <c r="O25" i="17"/>
  <c r="N25" i="17"/>
  <c r="H25" i="17"/>
  <c r="I25" i="17" s="1"/>
  <c r="J25" i="17" s="1"/>
  <c r="K25" i="17" s="1"/>
  <c r="L25" i="17" s="1"/>
  <c r="D25" i="17"/>
  <c r="AY24" i="17"/>
  <c r="AZ24" i="17" s="1"/>
  <c r="BA24" i="17" s="1"/>
  <c r="AU24" i="17"/>
  <c r="AV24" i="17" s="1"/>
  <c r="O24" i="17"/>
  <c r="N24" i="17"/>
  <c r="H24" i="17"/>
  <c r="I24" i="17" s="1"/>
  <c r="J24" i="17" s="1"/>
  <c r="K24" i="17" s="1"/>
  <c r="L24" i="17" s="1"/>
  <c r="AY23" i="17"/>
  <c r="AZ23" i="17" s="1"/>
  <c r="BA23" i="17" s="1"/>
  <c r="AU23" i="17"/>
  <c r="O23" i="17"/>
  <c r="N23" i="17"/>
  <c r="H23" i="17"/>
  <c r="I23" i="17" s="1"/>
  <c r="J23" i="17" s="1"/>
  <c r="K23" i="17" s="1"/>
  <c r="L23" i="17" s="1"/>
  <c r="E23" i="17"/>
  <c r="D23" i="17"/>
  <c r="AY22" i="17"/>
  <c r="AZ22" i="17" s="1"/>
  <c r="BA22" i="17" s="1"/>
  <c r="AU22" i="17"/>
  <c r="O22" i="17"/>
  <c r="N22" i="17"/>
  <c r="H22" i="17"/>
  <c r="I22" i="17" s="1"/>
  <c r="J22" i="17" s="1"/>
  <c r="K22" i="17" s="1"/>
  <c r="L22" i="17" s="1"/>
  <c r="E22" i="17"/>
  <c r="D22" i="17"/>
  <c r="AY21" i="17"/>
  <c r="AZ21" i="17" s="1"/>
  <c r="BA21" i="17" s="1"/>
  <c r="AU21" i="17"/>
  <c r="AV21" i="17" s="1"/>
  <c r="O21" i="17"/>
  <c r="N21" i="17"/>
  <c r="H21" i="17"/>
  <c r="I21" i="17" s="1"/>
  <c r="J21" i="17" s="1"/>
  <c r="K21" i="17" s="1"/>
  <c r="L21" i="17" s="1"/>
  <c r="E21" i="17"/>
  <c r="D21" i="17"/>
  <c r="AY20" i="17"/>
  <c r="AZ20" i="17" s="1"/>
  <c r="BA20" i="17" s="1"/>
  <c r="AU20" i="17"/>
  <c r="AV20" i="17" s="1"/>
  <c r="O20" i="17"/>
  <c r="N20" i="17"/>
  <c r="H20" i="17"/>
  <c r="I20" i="17" s="1"/>
  <c r="J20" i="17" s="1"/>
  <c r="K20" i="17" s="1"/>
  <c r="L20" i="17" s="1"/>
  <c r="E20" i="17"/>
  <c r="AY19" i="17"/>
  <c r="AZ19" i="17" s="1"/>
  <c r="BA19" i="17" s="1"/>
  <c r="AU19" i="17"/>
  <c r="AV19" i="17" s="1"/>
  <c r="O19" i="17"/>
  <c r="N19" i="17"/>
  <c r="H19" i="17"/>
  <c r="I19" i="17" s="1"/>
  <c r="J19" i="17" s="1"/>
  <c r="K19" i="17" s="1"/>
  <c r="L19" i="17" s="1"/>
  <c r="E19" i="17"/>
  <c r="AY18" i="17"/>
  <c r="AZ18" i="17" s="1"/>
  <c r="BA18" i="17" s="1"/>
  <c r="AU18" i="17"/>
  <c r="O18" i="17"/>
  <c r="N18" i="17"/>
  <c r="H18" i="17"/>
  <c r="I18" i="17" s="1"/>
  <c r="J18" i="17" s="1"/>
  <c r="K18" i="17" s="1"/>
  <c r="L18" i="17" s="1"/>
  <c r="E18" i="17"/>
  <c r="AY17" i="17"/>
  <c r="AZ17" i="17" s="1"/>
  <c r="BA17" i="17" s="1"/>
  <c r="AU17" i="17"/>
  <c r="AV17" i="17" s="1"/>
  <c r="O17" i="17"/>
  <c r="N17" i="17"/>
  <c r="H17" i="17"/>
  <c r="I17" i="17" s="1"/>
  <c r="J17" i="17" s="1"/>
  <c r="K17" i="17" s="1"/>
  <c r="L17" i="17" s="1"/>
  <c r="E17" i="17"/>
  <c r="D17" i="17"/>
  <c r="AY16" i="17"/>
  <c r="AZ16" i="17" s="1"/>
  <c r="BA16" i="17" s="1"/>
  <c r="AU16" i="17"/>
  <c r="O16" i="17"/>
  <c r="N16" i="17"/>
  <c r="H16" i="17"/>
  <c r="I16" i="17" s="1"/>
  <c r="J16" i="17" s="1"/>
  <c r="K16" i="17" s="1"/>
  <c r="L16" i="17" s="1"/>
  <c r="E16" i="17"/>
  <c r="D16" i="17"/>
  <c r="AY15" i="17"/>
  <c r="AZ15" i="17" s="1"/>
  <c r="BA15" i="17" s="1"/>
  <c r="AU15" i="17"/>
  <c r="AV15" i="17" s="1"/>
  <c r="O15" i="17"/>
  <c r="N15" i="17"/>
  <c r="H15" i="17"/>
  <c r="I15" i="17" s="1"/>
  <c r="J15" i="17" s="1"/>
  <c r="K15" i="17" s="1"/>
  <c r="L15" i="17" s="1"/>
  <c r="E15" i="17"/>
  <c r="D15" i="17"/>
  <c r="AY14" i="17"/>
  <c r="AZ14" i="17" s="1"/>
  <c r="BA14" i="17" s="1"/>
  <c r="AU14" i="17"/>
  <c r="AV14" i="17" s="1"/>
  <c r="O14" i="17"/>
  <c r="N14" i="17"/>
  <c r="H14" i="17"/>
  <c r="I14" i="17" s="1"/>
  <c r="J14" i="17" s="1"/>
  <c r="K14" i="17" s="1"/>
  <c r="L14" i="17" s="1"/>
  <c r="E14" i="17"/>
  <c r="D14" i="17"/>
  <c r="AY13" i="17"/>
  <c r="AZ13" i="17" s="1"/>
  <c r="BA13" i="17" s="1"/>
  <c r="AU13" i="17"/>
  <c r="O13" i="17"/>
  <c r="N13" i="17"/>
  <c r="H13" i="17"/>
  <c r="I13" i="17" s="1"/>
  <c r="J13" i="17" s="1"/>
  <c r="K13" i="17" s="1"/>
  <c r="L13" i="17" s="1"/>
  <c r="E13" i="17"/>
  <c r="D13" i="17"/>
  <c r="AY12" i="17"/>
  <c r="AZ12" i="17" s="1"/>
  <c r="BA12" i="17" s="1"/>
  <c r="AU12" i="17"/>
  <c r="O12" i="17"/>
  <c r="N12" i="17"/>
  <c r="H12" i="17"/>
  <c r="I12" i="17" s="1"/>
  <c r="J12" i="17" s="1"/>
  <c r="K12" i="17" s="1"/>
  <c r="L12" i="17" s="1"/>
  <c r="AY11" i="17"/>
  <c r="AZ11" i="17" s="1"/>
  <c r="BA11" i="17" s="1"/>
  <c r="AU11" i="17"/>
  <c r="AV11" i="17" s="1"/>
  <c r="X11" i="17"/>
  <c r="R11" i="17"/>
  <c r="O11" i="17"/>
  <c r="N11" i="17"/>
  <c r="H11" i="17"/>
  <c r="I11" i="17" s="1"/>
  <c r="J11" i="17" s="1"/>
  <c r="K11" i="17" s="1"/>
  <c r="L11" i="17" s="1"/>
  <c r="AY10" i="17"/>
  <c r="AZ10" i="17" s="1"/>
  <c r="BA10" i="17" s="1"/>
  <c r="AU10" i="17"/>
  <c r="O10" i="17"/>
  <c r="N10" i="17"/>
  <c r="H10" i="17"/>
  <c r="I10" i="17" s="1"/>
  <c r="J10" i="17" s="1"/>
  <c r="K10" i="17" s="1"/>
  <c r="L10" i="17" s="1"/>
  <c r="AY9" i="17"/>
  <c r="AZ9" i="17" s="1"/>
  <c r="BA9" i="17" s="1"/>
  <c r="AU9" i="17"/>
  <c r="O9" i="17"/>
  <c r="N9" i="17"/>
  <c r="H9" i="17"/>
  <c r="I9" i="17" s="1"/>
  <c r="J9" i="17" s="1"/>
  <c r="K9" i="17" s="1"/>
  <c r="L9" i="17" s="1"/>
  <c r="AY8" i="17"/>
  <c r="AZ8" i="17" s="1"/>
  <c r="BA8" i="17" s="1"/>
  <c r="AU8" i="17"/>
  <c r="O8" i="17"/>
  <c r="N8" i="17"/>
  <c r="H8" i="17"/>
  <c r="I8" i="17" s="1"/>
  <c r="J8" i="17" s="1"/>
  <c r="K8" i="17" s="1"/>
  <c r="L8" i="17" s="1"/>
  <c r="F8" i="17"/>
  <c r="AY7" i="17"/>
  <c r="AZ7" i="17" s="1"/>
  <c r="BA7" i="17" s="1"/>
  <c r="AU7" i="17"/>
  <c r="O7" i="17"/>
  <c r="N7" i="17"/>
  <c r="H7" i="17"/>
  <c r="I7" i="17" s="1"/>
  <c r="J7" i="17" s="1"/>
  <c r="K7" i="17" s="1"/>
  <c r="L7" i="17" s="1"/>
  <c r="F7" i="17"/>
  <c r="F9" i="17" s="1"/>
  <c r="F10" i="17" s="1"/>
  <c r="AY6" i="17"/>
  <c r="AZ6" i="17" s="1"/>
  <c r="BA6" i="17" s="1"/>
  <c r="AU6" i="17"/>
  <c r="AV6" i="17" s="1"/>
  <c r="O6" i="17"/>
  <c r="N6" i="17"/>
  <c r="H6" i="17"/>
  <c r="I6" i="17" s="1"/>
  <c r="J6" i="17" s="1"/>
  <c r="K6" i="17" s="1"/>
  <c r="L6" i="17" s="1"/>
  <c r="AY5" i="17"/>
  <c r="AZ5" i="17" s="1"/>
  <c r="BA5" i="17" s="1"/>
  <c r="AU5" i="17"/>
  <c r="O5" i="17"/>
  <c r="N5" i="17"/>
  <c r="M5" i="17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M65" i="17" s="1"/>
  <c r="M66" i="17" s="1"/>
  <c r="M67" i="17" s="1"/>
  <c r="M68" i="17" s="1"/>
  <c r="M69" i="17" s="1"/>
  <c r="M70" i="17" s="1"/>
  <c r="M71" i="17" s="1"/>
  <c r="M72" i="17" s="1"/>
  <c r="M73" i="17" s="1"/>
  <c r="M74" i="17" s="1"/>
  <c r="M75" i="17" s="1"/>
  <c r="M76" i="17" s="1"/>
  <c r="M77" i="17" s="1"/>
  <c r="M78" i="17" s="1"/>
  <c r="M79" i="17" s="1"/>
  <c r="M80" i="17" s="1"/>
  <c r="M81" i="17" s="1"/>
  <c r="M82" i="17" s="1"/>
  <c r="M83" i="17" s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H5" i="17"/>
  <c r="I5" i="17" s="1"/>
  <c r="J5" i="17" s="1"/>
  <c r="K5" i="17" s="1"/>
  <c r="L5" i="17" s="1"/>
  <c r="AY4" i="17"/>
  <c r="AZ4" i="17" s="1"/>
  <c r="BA4" i="17" s="1"/>
  <c r="AU4" i="17"/>
  <c r="AV4" i="17" s="1"/>
  <c r="O4" i="17"/>
  <c r="N4" i="17"/>
  <c r="M4" i="17"/>
  <c r="H4" i="17"/>
  <c r="I4" i="17" s="1"/>
  <c r="J4" i="17" s="1"/>
  <c r="K4" i="17" s="1"/>
  <c r="L4" i="17" s="1"/>
  <c r="AY3" i="17"/>
  <c r="AZ3" i="17" s="1"/>
  <c r="BA3" i="17" s="1"/>
  <c r="AU3" i="17"/>
  <c r="O3" i="17"/>
  <c r="N3" i="17"/>
  <c r="M3" i="17"/>
  <c r="H3" i="17"/>
  <c r="I3" i="17" s="1"/>
  <c r="J3" i="17" s="1"/>
  <c r="K3" i="17" s="1"/>
  <c r="L3" i="17" s="1"/>
  <c r="AY2" i="17"/>
  <c r="AZ2" i="17" s="1"/>
  <c r="BA2" i="17" s="1"/>
  <c r="AU2" i="17"/>
  <c r="AV2" i="17" s="1"/>
  <c r="F14" i="17"/>
  <c r="F19" i="17"/>
  <c r="E78" i="17"/>
  <c r="F64" i="17"/>
  <c r="F57" i="17"/>
  <c r="F54" i="17"/>
  <c r="F16" i="17"/>
  <c r="F55" i="17"/>
  <c r="E74" i="17"/>
  <c r="F70" i="17"/>
  <c r="E39" i="17"/>
  <c r="F32" i="17"/>
  <c r="F62" i="17"/>
  <c r="E77" i="17"/>
  <c r="F63" i="17"/>
  <c r="E10" i="17"/>
  <c r="F69" i="17"/>
  <c r="E76" i="17"/>
  <c r="F51" i="17"/>
  <c r="F20" i="17"/>
  <c r="F61" i="17"/>
  <c r="F42" i="17"/>
  <c r="F41" i="17"/>
  <c r="F31" i="17"/>
  <c r="E40" i="17"/>
  <c r="F56" i="17"/>
  <c r="F15" i="17"/>
  <c r="F13" i="17"/>
  <c r="F65" i="17"/>
  <c r="F22" i="17"/>
  <c r="E80" i="17"/>
  <c r="F17" i="17"/>
  <c r="F33" i="17"/>
  <c r="F23" i="17"/>
  <c r="F30" i="17"/>
  <c r="E79" i="17"/>
  <c r="E9" i="17"/>
  <c r="F21" i="17"/>
  <c r="F43" i="17"/>
  <c r="E73" i="17"/>
  <c r="F50" i="17"/>
  <c r="E75" i="17"/>
  <c r="F26" i="17"/>
  <c r="F5" i="17"/>
  <c r="F18" i="17"/>
  <c r="F29" i="17"/>
  <c r="F25" i="17"/>
  <c r="AV85" i="17" l="1"/>
  <c r="AV68" i="17"/>
  <c r="AV71" i="17"/>
  <c r="AV3" i="17"/>
  <c r="AV7" i="17"/>
  <c r="AV10" i="17"/>
  <c r="AV16" i="17"/>
  <c r="AV22" i="17"/>
  <c r="AV23" i="17"/>
  <c r="AV36" i="17"/>
  <c r="AV45" i="17"/>
  <c r="AV48" i="17"/>
  <c r="AV60" i="17"/>
  <c r="AV64" i="17"/>
  <c r="AV79" i="17"/>
  <c r="AV82" i="17"/>
  <c r="AV88" i="17"/>
  <c r="AV91" i="17"/>
  <c r="AV9" i="17"/>
  <c r="AV13" i="17"/>
  <c r="AV35" i="17"/>
  <c r="AV44" i="17"/>
  <c r="AV50" i="17"/>
  <c r="AV59" i="17"/>
  <c r="AV66" i="17"/>
  <c r="AV78" i="17"/>
  <c r="AV81" i="17"/>
  <c r="AV90" i="17"/>
  <c r="AV84" i="17"/>
  <c r="AV12" i="17"/>
  <c r="AV25" i="17"/>
  <c r="AV32" i="17"/>
  <c r="AV41" i="17"/>
  <c r="AV62" i="17"/>
  <c r="AV69" i="17"/>
  <c r="AV72" i="17"/>
  <c r="AV86" i="17"/>
  <c r="AV5" i="17"/>
  <c r="AV18" i="17"/>
  <c r="AV28" i="17"/>
  <c r="AV37" i="17"/>
  <c r="AV46" i="17"/>
  <c r="AV49" i="17"/>
  <c r="AV55" i="17"/>
  <c r="AV83" i="17"/>
  <c r="AV92" i="17"/>
  <c r="AV8" i="17"/>
  <c r="AV34" i="17"/>
  <c r="AV43" i="17"/>
  <c r="AV54" i="17"/>
  <c r="AV58" i="17"/>
  <c r="AV61" i="17"/>
  <c r="AV65" i="17"/>
  <c r="AV74" i="17"/>
  <c r="AV77" i="17"/>
  <c r="S11" i="17"/>
  <c r="T11" i="17" s="1"/>
  <c r="D43" i="17"/>
  <c r="D46" i="17" s="1"/>
  <c r="D31" i="17"/>
  <c r="D36" i="17"/>
  <c r="U11" i="17"/>
  <c r="E5" i="17"/>
  <c r="D74" i="17"/>
  <c r="D76" i="17"/>
  <c r="D73" i="17"/>
  <c r="D75" i="17"/>
  <c r="D32" i="17"/>
  <c r="D35" i="17" s="1"/>
  <c r="Q56" i="17"/>
  <c r="R56" i="17" s="1"/>
  <c r="S56" i="17" s="1"/>
  <c r="T56" i="17" s="1"/>
  <c r="D41" i="17"/>
  <c r="M4" i="16"/>
  <c r="M5" i="16" s="1"/>
  <c r="M6" i="16" s="1"/>
  <c r="M7" i="16" s="1"/>
  <c r="M8" i="16" s="1"/>
  <c r="M9" i="16" s="1"/>
  <c r="M10" i="16" s="1"/>
  <c r="M11" i="16" s="1"/>
  <c r="M12" i="16" s="1"/>
  <c r="M13" i="16" s="1"/>
  <c r="M14" i="16" s="1"/>
  <c r="M15" i="16" s="1"/>
  <c r="M16" i="16" s="1"/>
  <c r="M17" i="16" s="1"/>
  <c r="M18" i="16" s="1"/>
  <c r="M19" i="16" s="1"/>
  <c r="M20" i="16" s="1"/>
  <c r="M21" i="16" s="1"/>
  <c r="M22" i="16" s="1"/>
  <c r="M23" i="16" s="1"/>
  <c r="M24" i="16" s="1"/>
  <c r="M25" i="16" s="1"/>
  <c r="M26" i="16" s="1"/>
  <c r="M27" i="16" s="1"/>
  <c r="M28" i="16" s="1"/>
  <c r="M29" i="16" s="1"/>
  <c r="M30" i="16" s="1"/>
  <c r="M31" i="16" s="1"/>
  <c r="M32" i="16" s="1"/>
  <c r="M33" i="16" s="1"/>
  <c r="M34" i="16" s="1"/>
  <c r="M35" i="16" s="1"/>
  <c r="M36" i="16" s="1"/>
  <c r="M37" i="16" s="1"/>
  <c r="M38" i="16" s="1"/>
  <c r="M39" i="16" s="1"/>
  <c r="M40" i="16" s="1"/>
  <c r="M41" i="16" s="1"/>
  <c r="M42" i="16" s="1"/>
  <c r="M43" i="16" s="1"/>
  <c r="M44" i="16" s="1"/>
  <c r="M45" i="16" s="1"/>
  <c r="M46" i="16" s="1"/>
  <c r="M47" i="16" s="1"/>
  <c r="M48" i="16" s="1"/>
  <c r="M49" i="16" s="1"/>
  <c r="M50" i="16" s="1"/>
  <c r="M51" i="16" s="1"/>
  <c r="M52" i="16" s="1"/>
  <c r="M53" i="16" s="1"/>
  <c r="M54" i="16" s="1"/>
  <c r="M55" i="16" s="1"/>
  <c r="M56" i="16" s="1"/>
  <c r="M57" i="16" s="1"/>
  <c r="M58" i="16" s="1"/>
  <c r="M59" i="16" s="1"/>
  <c r="M60" i="16" s="1"/>
  <c r="M61" i="16" s="1"/>
  <c r="M62" i="16" s="1"/>
  <c r="M63" i="16" s="1"/>
  <c r="M64" i="16" s="1"/>
  <c r="M65" i="16" s="1"/>
  <c r="M66" i="16" s="1"/>
  <c r="M67" i="16" s="1"/>
  <c r="M68" i="16" s="1"/>
  <c r="M69" i="16" s="1"/>
  <c r="M70" i="16" s="1"/>
  <c r="M71" i="16" s="1"/>
  <c r="M72" i="16" s="1"/>
  <c r="M73" i="16" s="1"/>
  <c r="M74" i="16" s="1"/>
  <c r="M75" i="16" s="1"/>
  <c r="M76" i="16" s="1"/>
  <c r="M77" i="16" s="1"/>
  <c r="M78" i="16" s="1"/>
  <c r="M79" i="16" s="1"/>
  <c r="M80" i="16" s="1"/>
  <c r="M81" i="16" s="1"/>
  <c r="M82" i="16" s="1"/>
  <c r="M83" i="16" s="1"/>
  <c r="M84" i="16" s="1"/>
  <c r="M85" i="16" s="1"/>
  <c r="M86" i="16" s="1"/>
  <c r="M87" i="16" s="1"/>
  <c r="M88" i="16" s="1"/>
  <c r="M89" i="16" s="1"/>
  <c r="M90" i="16" s="1"/>
  <c r="M91" i="16" s="1"/>
  <c r="M92" i="16" s="1"/>
  <c r="M93" i="16" s="1"/>
  <c r="M94" i="16" s="1"/>
  <c r="M3" i="16"/>
  <c r="M4" i="15"/>
  <c r="M5" i="15" s="1"/>
  <c r="M6" i="15" s="1"/>
  <c r="M7" i="15" s="1"/>
  <c r="M8" i="15" s="1"/>
  <c r="M9" i="15" s="1"/>
  <c r="M10" i="15" s="1"/>
  <c r="M11" i="15" s="1"/>
  <c r="M12" i="15" s="1"/>
  <c r="M13" i="15" s="1"/>
  <c r="M14" i="15" s="1"/>
  <c r="M15" i="15" s="1"/>
  <c r="M16" i="15" s="1"/>
  <c r="M17" i="15" s="1"/>
  <c r="M18" i="15" s="1"/>
  <c r="M19" i="15" s="1"/>
  <c r="M20" i="15" s="1"/>
  <c r="M21" i="15" s="1"/>
  <c r="M22" i="15" s="1"/>
  <c r="M23" i="15" s="1"/>
  <c r="M24" i="15" s="1"/>
  <c r="M25" i="15" s="1"/>
  <c r="M26" i="15" s="1"/>
  <c r="M27" i="15" s="1"/>
  <c r="M28" i="15" s="1"/>
  <c r="M29" i="15" s="1"/>
  <c r="M30" i="15" s="1"/>
  <c r="M31" i="15" s="1"/>
  <c r="M32" i="15" s="1"/>
  <c r="M33" i="15" s="1"/>
  <c r="M34" i="15" s="1"/>
  <c r="M35" i="15" s="1"/>
  <c r="M36" i="15" s="1"/>
  <c r="M37" i="15" s="1"/>
  <c r="M38" i="15" s="1"/>
  <c r="M39" i="15" s="1"/>
  <c r="M40" i="15" s="1"/>
  <c r="M41" i="15" s="1"/>
  <c r="M42" i="15" s="1"/>
  <c r="M43" i="15" s="1"/>
  <c r="M44" i="15" s="1"/>
  <c r="M45" i="15" s="1"/>
  <c r="M46" i="15" s="1"/>
  <c r="M47" i="15" s="1"/>
  <c r="M48" i="15" s="1"/>
  <c r="M49" i="15" s="1"/>
  <c r="M50" i="15" s="1"/>
  <c r="M51" i="15" s="1"/>
  <c r="M52" i="15" s="1"/>
  <c r="M53" i="15" s="1"/>
  <c r="M54" i="15" s="1"/>
  <c r="M55" i="15" s="1"/>
  <c r="M56" i="15" s="1"/>
  <c r="M57" i="15" s="1"/>
  <c r="M58" i="15" s="1"/>
  <c r="M59" i="15" s="1"/>
  <c r="M60" i="15" s="1"/>
  <c r="M61" i="15" s="1"/>
  <c r="M62" i="15" s="1"/>
  <c r="M63" i="15" s="1"/>
  <c r="M64" i="15" s="1"/>
  <c r="M65" i="15" s="1"/>
  <c r="M66" i="15" s="1"/>
  <c r="M67" i="15" s="1"/>
  <c r="M68" i="15" s="1"/>
  <c r="M69" i="15" s="1"/>
  <c r="M70" i="15" s="1"/>
  <c r="M71" i="15" s="1"/>
  <c r="M72" i="15" s="1"/>
  <c r="M73" i="15" s="1"/>
  <c r="M74" i="15" s="1"/>
  <c r="M75" i="15" s="1"/>
  <c r="M76" i="15" s="1"/>
  <c r="M77" i="15" s="1"/>
  <c r="M78" i="15" s="1"/>
  <c r="M79" i="15" s="1"/>
  <c r="M80" i="15" s="1"/>
  <c r="M81" i="15" s="1"/>
  <c r="M82" i="15" s="1"/>
  <c r="M83" i="15" s="1"/>
  <c r="M84" i="15" s="1"/>
  <c r="M85" i="15" s="1"/>
  <c r="M86" i="15" s="1"/>
  <c r="M87" i="15" s="1"/>
  <c r="M88" i="15" s="1"/>
  <c r="M89" i="15" s="1"/>
  <c r="M90" i="15" s="1"/>
  <c r="M91" i="15" s="1"/>
  <c r="M92" i="15" s="1"/>
  <c r="M93" i="15" s="1"/>
  <c r="M94" i="15" s="1"/>
  <c r="M3" i="15"/>
  <c r="D25" i="16"/>
  <c r="D25" i="15"/>
  <c r="AY93" i="16"/>
  <c r="AZ93" i="16" s="1"/>
  <c r="BA93" i="16" s="1"/>
  <c r="AU93" i="16"/>
  <c r="AV93" i="16" s="1"/>
  <c r="O94" i="16"/>
  <c r="N94" i="16"/>
  <c r="H94" i="16"/>
  <c r="I94" i="16" s="1"/>
  <c r="J94" i="16" s="1"/>
  <c r="K94" i="16" s="1"/>
  <c r="L94" i="16" s="1"/>
  <c r="AY92" i="16"/>
  <c r="AZ92" i="16" s="1"/>
  <c r="BA92" i="16" s="1"/>
  <c r="AU92" i="16"/>
  <c r="AV92" i="16" s="1"/>
  <c r="O93" i="16"/>
  <c r="N93" i="16"/>
  <c r="H93" i="16"/>
  <c r="I93" i="16" s="1"/>
  <c r="J93" i="16" s="1"/>
  <c r="K93" i="16" s="1"/>
  <c r="L93" i="16" s="1"/>
  <c r="AY91" i="16"/>
  <c r="AZ91" i="16" s="1"/>
  <c r="BA91" i="16" s="1"/>
  <c r="AU91" i="16"/>
  <c r="AV91" i="16" s="1"/>
  <c r="O92" i="16"/>
  <c r="N92" i="16"/>
  <c r="H92" i="16"/>
  <c r="I92" i="16" s="1"/>
  <c r="J92" i="16" s="1"/>
  <c r="K92" i="16" s="1"/>
  <c r="L92" i="16" s="1"/>
  <c r="AY90" i="16"/>
  <c r="AZ90" i="16" s="1"/>
  <c r="BA90" i="16" s="1"/>
  <c r="AU90" i="16"/>
  <c r="AV90" i="16" s="1"/>
  <c r="O91" i="16"/>
  <c r="N91" i="16"/>
  <c r="H91" i="16"/>
  <c r="I91" i="16" s="1"/>
  <c r="J91" i="16" s="1"/>
  <c r="K91" i="16" s="1"/>
  <c r="L91" i="16" s="1"/>
  <c r="AY89" i="16"/>
  <c r="AZ89" i="16" s="1"/>
  <c r="BA89" i="16" s="1"/>
  <c r="AU89" i="16"/>
  <c r="AV89" i="16" s="1"/>
  <c r="O90" i="16"/>
  <c r="N90" i="16"/>
  <c r="H90" i="16"/>
  <c r="I90" i="16" s="1"/>
  <c r="J90" i="16" s="1"/>
  <c r="K90" i="16" s="1"/>
  <c r="L90" i="16" s="1"/>
  <c r="AY88" i="16"/>
  <c r="AZ88" i="16" s="1"/>
  <c r="BA88" i="16" s="1"/>
  <c r="AU88" i="16"/>
  <c r="AV88" i="16" s="1"/>
  <c r="O89" i="16"/>
  <c r="N89" i="16"/>
  <c r="H89" i="16"/>
  <c r="I89" i="16" s="1"/>
  <c r="J89" i="16" s="1"/>
  <c r="K89" i="16" s="1"/>
  <c r="L89" i="16" s="1"/>
  <c r="AY87" i="16"/>
  <c r="AZ87" i="16" s="1"/>
  <c r="BA87" i="16" s="1"/>
  <c r="AU87" i="16"/>
  <c r="AV87" i="16" s="1"/>
  <c r="O88" i="16"/>
  <c r="N88" i="16"/>
  <c r="H88" i="16"/>
  <c r="I88" i="16" s="1"/>
  <c r="J88" i="16" s="1"/>
  <c r="K88" i="16" s="1"/>
  <c r="L88" i="16" s="1"/>
  <c r="AY86" i="16"/>
  <c r="AZ86" i="16" s="1"/>
  <c r="BA86" i="16" s="1"/>
  <c r="AU86" i="16"/>
  <c r="AV86" i="16" s="1"/>
  <c r="O87" i="16"/>
  <c r="N87" i="16"/>
  <c r="H87" i="16"/>
  <c r="I87" i="16" s="1"/>
  <c r="J87" i="16" s="1"/>
  <c r="K87" i="16" s="1"/>
  <c r="L87" i="16" s="1"/>
  <c r="AY85" i="16"/>
  <c r="AZ85" i="16" s="1"/>
  <c r="BA85" i="16" s="1"/>
  <c r="AU85" i="16"/>
  <c r="AV85" i="16" s="1"/>
  <c r="O86" i="16"/>
  <c r="N86" i="16"/>
  <c r="H86" i="16"/>
  <c r="I86" i="16" s="1"/>
  <c r="J86" i="16" s="1"/>
  <c r="K86" i="16" s="1"/>
  <c r="L86" i="16" s="1"/>
  <c r="AY84" i="16"/>
  <c r="AZ84" i="16" s="1"/>
  <c r="BA84" i="16" s="1"/>
  <c r="AU84" i="16"/>
  <c r="AV84" i="16" s="1"/>
  <c r="O85" i="16"/>
  <c r="N85" i="16"/>
  <c r="H85" i="16"/>
  <c r="I85" i="16" s="1"/>
  <c r="J85" i="16" s="1"/>
  <c r="K85" i="16" s="1"/>
  <c r="L85" i="16" s="1"/>
  <c r="AY83" i="16"/>
  <c r="AZ83" i="16" s="1"/>
  <c r="BA83" i="16" s="1"/>
  <c r="AU83" i="16"/>
  <c r="AV83" i="16" s="1"/>
  <c r="O84" i="16"/>
  <c r="N84" i="16"/>
  <c r="H84" i="16"/>
  <c r="I84" i="16" s="1"/>
  <c r="J84" i="16" s="1"/>
  <c r="K84" i="16" s="1"/>
  <c r="L84" i="16" s="1"/>
  <c r="AY82" i="16"/>
  <c r="AZ82" i="16" s="1"/>
  <c r="BA82" i="16" s="1"/>
  <c r="AU82" i="16"/>
  <c r="AV82" i="16" s="1"/>
  <c r="O83" i="16"/>
  <c r="N83" i="16"/>
  <c r="H83" i="16"/>
  <c r="I83" i="16" s="1"/>
  <c r="J83" i="16" s="1"/>
  <c r="K83" i="16" s="1"/>
  <c r="L83" i="16" s="1"/>
  <c r="AY81" i="16"/>
  <c r="AZ81" i="16" s="1"/>
  <c r="BA81" i="16" s="1"/>
  <c r="AU81" i="16"/>
  <c r="AV81" i="16" s="1"/>
  <c r="O82" i="16"/>
  <c r="N82" i="16"/>
  <c r="H82" i="16"/>
  <c r="I82" i="16" s="1"/>
  <c r="J82" i="16" s="1"/>
  <c r="K82" i="16" s="1"/>
  <c r="L82" i="16" s="1"/>
  <c r="AY80" i="16"/>
  <c r="AZ80" i="16" s="1"/>
  <c r="BA80" i="16" s="1"/>
  <c r="AU80" i="16"/>
  <c r="AV80" i="16" s="1"/>
  <c r="O81" i="16"/>
  <c r="N81" i="16"/>
  <c r="H81" i="16"/>
  <c r="I81" i="16" s="1"/>
  <c r="J81" i="16" s="1"/>
  <c r="K81" i="16" s="1"/>
  <c r="L81" i="16" s="1"/>
  <c r="AY79" i="16"/>
  <c r="AZ79" i="16" s="1"/>
  <c r="BA79" i="16" s="1"/>
  <c r="AU79" i="16"/>
  <c r="AV79" i="16" s="1"/>
  <c r="O80" i="16"/>
  <c r="N80" i="16"/>
  <c r="H80" i="16"/>
  <c r="I80" i="16" s="1"/>
  <c r="J80" i="16" s="1"/>
  <c r="K80" i="16" s="1"/>
  <c r="L80" i="16" s="1"/>
  <c r="AY78" i="16"/>
  <c r="AZ78" i="16" s="1"/>
  <c r="BA78" i="16" s="1"/>
  <c r="AU78" i="16"/>
  <c r="AV78" i="16" s="1"/>
  <c r="O79" i="16"/>
  <c r="N79" i="16"/>
  <c r="H79" i="16"/>
  <c r="I79" i="16" s="1"/>
  <c r="J79" i="16" s="1"/>
  <c r="K79" i="16" s="1"/>
  <c r="L79" i="16" s="1"/>
  <c r="AY77" i="16"/>
  <c r="AZ77" i="16" s="1"/>
  <c r="BA77" i="16" s="1"/>
  <c r="AU77" i="16"/>
  <c r="AV77" i="16" s="1"/>
  <c r="O78" i="16"/>
  <c r="N78" i="16"/>
  <c r="H78" i="16"/>
  <c r="I78" i="16" s="1"/>
  <c r="J78" i="16" s="1"/>
  <c r="K78" i="16" s="1"/>
  <c r="L78" i="16" s="1"/>
  <c r="AY76" i="16"/>
  <c r="AZ76" i="16" s="1"/>
  <c r="BA76" i="16" s="1"/>
  <c r="AU76" i="16"/>
  <c r="AV76" i="16" s="1"/>
  <c r="O77" i="16"/>
  <c r="N77" i="16"/>
  <c r="H77" i="16"/>
  <c r="I77" i="16" s="1"/>
  <c r="J77" i="16" s="1"/>
  <c r="K77" i="16" s="1"/>
  <c r="L77" i="16" s="1"/>
  <c r="AY75" i="16"/>
  <c r="AZ75" i="16" s="1"/>
  <c r="BA75" i="16" s="1"/>
  <c r="AU75" i="16"/>
  <c r="AV75" i="16" s="1"/>
  <c r="O76" i="16"/>
  <c r="N76" i="16"/>
  <c r="H76" i="16"/>
  <c r="I76" i="16" s="1"/>
  <c r="J76" i="16" s="1"/>
  <c r="K76" i="16" s="1"/>
  <c r="L76" i="16" s="1"/>
  <c r="AY74" i="16"/>
  <c r="AZ74" i="16" s="1"/>
  <c r="BA74" i="16" s="1"/>
  <c r="AU74" i="16"/>
  <c r="AV74" i="16" s="1"/>
  <c r="O75" i="16"/>
  <c r="N75" i="16"/>
  <c r="H75" i="16"/>
  <c r="I75" i="16" s="1"/>
  <c r="J75" i="16" s="1"/>
  <c r="K75" i="16" s="1"/>
  <c r="L75" i="16" s="1"/>
  <c r="AY73" i="16"/>
  <c r="AZ73" i="16" s="1"/>
  <c r="BA73" i="16" s="1"/>
  <c r="AU73" i="16"/>
  <c r="AV73" i="16" s="1"/>
  <c r="O74" i="16"/>
  <c r="N74" i="16"/>
  <c r="H74" i="16"/>
  <c r="I74" i="16" s="1"/>
  <c r="J74" i="16" s="1"/>
  <c r="K74" i="16" s="1"/>
  <c r="L74" i="16" s="1"/>
  <c r="AY72" i="16"/>
  <c r="AZ72" i="16" s="1"/>
  <c r="BA72" i="16" s="1"/>
  <c r="AU72" i="16"/>
  <c r="AV72" i="16" s="1"/>
  <c r="O73" i="16"/>
  <c r="N73" i="16"/>
  <c r="H73" i="16"/>
  <c r="I73" i="16" s="1"/>
  <c r="J73" i="16" s="1"/>
  <c r="K73" i="16" s="1"/>
  <c r="L73" i="16" s="1"/>
  <c r="AY71" i="16"/>
  <c r="AZ71" i="16" s="1"/>
  <c r="BA71" i="16" s="1"/>
  <c r="AU71" i="16"/>
  <c r="AV71" i="16" s="1"/>
  <c r="O72" i="16"/>
  <c r="N72" i="16"/>
  <c r="H72" i="16"/>
  <c r="I72" i="16" s="1"/>
  <c r="J72" i="16" s="1"/>
  <c r="K72" i="16" s="1"/>
  <c r="L72" i="16" s="1"/>
  <c r="AY70" i="16"/>
  <c r="AZ70" i="16" s="1"/>
  <c r="BA70" i="16" s="1"/>
  <c r="AU70" i="16"/>
  <c r="AV70" i="16" s="1"/>
  <c r="O71" i="16"/>
  <c r="N71" i="16"/>
  <c r="H71" i="16"/>
  <c r="I71" i="16" s="1"/>
  <c r="J71" i="16" s="1"/>
  <c r="K71" i="16" s="1"/>
  <c r="L71" i="16" s="1"/>
  <c r="AY69" i="16"/>
  <c r="AZ69" i="16" s="1"/>
  <c r="BA69" i="16" s="1"/>
  <c r="AU69" i="16"/>
  <c r="AV69" i="16" s="1"/>
  <c r="O70" i="16"/>
  <c r="N70" i="16"/>
  <c r="H70" i="16"/>
  <c r="I70" i="16" s="1"/>
  <c r="J70" i="16" s="1"/>
  <c r="K70" i="16" s="1"/>
  <c r="L70" i="16" s="1"/>
  <c r="AY68" i="16"/>
  <c r="AZ68" i="16" s="1"/>
  <c r="BA68" i="16" s="1"/>
  <c r="AU68" i="16"/>
  <c r="AV68" i="16" s="1"/>
  <c r="O69" i="16"/>
  <c r="N69" i="16"/>
  <c r="H69" i="16"/>
  <c r="I69" i="16" s="1"/>
  <c r="J69" i="16" s="1"/>
  <c r="K69" i="16" s="1"/>
  <c r="L69" i="16" s="1"/>
  <c r="AY67" i="16"/>
  <c r="AZ67" i="16" s="1"/>
  <c r="BA67" i="16" s="1"/>
  <c r="AU67" i="16"/>
  <c r="AV67" i="16" s="1"/>
  <c r="O68" i="16"/>
  <c r="N68" i="16"/>
  <c r="H68" i="16"/>
  <c r="I68" i="16" s="1"/>
  <c r="J68" i="16" s="1"/>
  <c r="K68" i="16" s="1"/>
  <c r="L68" i="16" s="1"/>
  <c r="AY66" i="16"/>
  <c r="AZ66" i="16" s="1"/>
  <c r="BA66" i="16" s="1"/>
  <c r="AU66" i="16"/>
  <c r="AV66" i="16" s="1"/>
  <c r="O67" i="16"/>
  <c r="N67" i="16"/>
  <c r="H67" i="16"/>
  <c r="I67" i="16" s="1"/>
  <c r="J67" i="16" s="1"/>
  <c r="K67" i="16" s="1"/>
  <c r="L67" i="16" s="1"/>
  <c r="AY65" i="16"/>
  <c r="AZ65" i="16" s="1"/>
  <c r="BA65" i="16" s="1"/>
  <c r="AU65" i="16"/>
  <c r="AV65" i="16" s="1"/>
  <c r="O66" i="16"/>
  <c r="N66" i="16"/>
  <c r="H66" i="16"/>
  <c r="I66" i="16" s="1"/>
  <c r="J66" i="16" s="1"/>
  <c r="K66" i="16" s="1"/>
  <c r="L66" i="16" s="1"/>
  <c r="E65" i="16"/>
  <c r="AY64" i="16"/>
  <c r="AZ64" i="16" s="1"/>
  <c r="BA64" i="16" s="1"/>
  <c r="AU64" i="16"/>
  <c r="AV64" i="16" s="1"/>
  <c r="O65" i="16"/>
  <c r="N65" i="16"/>
  <c r="H65" i="16"/>
  <c r="I65" i="16" s="1"/>
  <c r="J65" i="16" s="1"/>
  <c r="K65" i="16" s="1"/>
  <c r="L65" i="16" s="1"/>
  <c r="E64" i="16"/>
  <c r="AY63" i="16"/>
  <c r="AZ63" i="16" s="1"/>
  <c r="BA63" i="16" s="1"/>
  <c r="AU63" i="16"/>
  <c r="AV63" i="16" s="1"/>
  <c r="O64" i="16"/>
  <c r="N64" i="16"/>
  <c r="H64" i="16"/>
  <c r="I64" i="16" s="1"/>
  <c r="J64" i="16" s="1"/>
  <c r="K64" i="16" s="1"/>
  <c r="L64" i="16" s="1"/>
  <c r="E63" i="16"/>
  <c r="AY62" i="16"/>
  <c r="AZ62" i="16" s="1"/>
  <c r="BA62" i="16" s="1"/>
  <c r="AU62" i="16"/>
  <c r="AV62" i="16" s="1"/>
  <c r="O63" i="16"/>
  <c r="N63" i="16"/>
  <c r="H63" i="16"/>
  <c r="I63" i="16" s="1"/>
  <c r="J63" i="16" s="1"/>
  <c r="K63" i="16" s="1"/>
  <c r="L63" i="16" s="1"/>
  <c r="E62" i="16"/>
  <c r="AY61" i="16"/>
  <c r="AZ61" i="16" s="1"/>
  <c r="BA61" i="16" s="1"/>
  <c r="AU61" i="16"/>
  <c r="AV61" i="16" s="1"/>
  <c r="O62" i="16"/>
  <c r="N62" i="16"/>
  <c r="H62" i="16"/>
  <c r="I62" i="16" s="1"/>
  <c r="J62" i="16" s="1"/>
  <c r="K62" i="16" s="1"/>
  <c r="L62" i="16" s="1"/>
  <c r="E61" i="16"/>
  <c r="AY60" i="16"/>
  <c r="AZ60" i="16" s="1"/>
  <c r="BA60" i="16" s="1"/>
  <c r="AU60" i="16"/>
  <c r="AV60" i="16" s="1"/>
  <c r="O61" i="16"/>
  <c r="N61" i="16"/>
  <c r="H61" i="16"/>
  <c r="I61" i="16" s="1"/>
  <c r="J61" i="16" s="1"/>
  <c r="K61" i="16" s="1"/>
  <c r="L61" i="16" s="1"/>
  <c r="AY59" i="16"/>
  <c r="AZ59" i="16" s="1"/>
  <c r="BA59" i="16" s="1"/>
  <c r="AU59" i="16"/>
  <c r="AV59" i="16" s="1"/>
  <c r="O60" i="16"/>
  <c r="N60" i="16"/>
  <c r="H60" i="16"/>
  <c r="I60" i="16" s="1"/>
  <c r="J60" i="16" s="1"/>
  <c r="K60" i="16" s="1"/>
  <c r="L60" i="16" s="1"/>
  <c r="AY58" i="16"/>
  <c r="AZ58" i="16" s="1"/>
  <c r="BA58" i="16" s="1"/>
  <c r="AU58" i="16"/>
  <c r="AV58" i="16" s="1"/>
  <c r="O59" i="16"/>
  <c r="N59" i="16"/>
  <c r="H59" i="16"/>
  <c r="I59" i="16" s="1"/>
  <c r="J59" i="16" s="1"/>
  <c r="K59" i="16" s="1"/>
  <c r="L59" i="16" s="1"/>
  <c r="AY57" i="16"/>
  <c r="AZ57" i="16" s="1"/>
  <c r="BA57" i="16" s="1"/>
  <c r="AU57" i="16"/>
  <c r="AV57" i="16" s="1"/>
  <c r="O58" i="16"/>
  <c r="N58" i="16"/>
  <c r="H58" i="16"/>
  <c r="I58" i="16" s="1"/>
  <c r="J58" i="16" s="1"/>
  <c r="K58" i="16" s="1"/>
  <c r="L58" i="16" s="1"/>
  <c r="AY56" i="16"/>
  <c r="AZ56" i="16" s="1"/>
  <c r="BA56" i="16" s="1"/>
  <c r="AU56" i="16"/>
  <c r="AV56" i="16" s="1"/>
  <c r="O57" i="16"/>
  <c r="N57" i="16"/>
  <c r="H57" i="16"/>
  <c r="I57" i="16" s="1"/>
  <c r="J57" i="16" s="1"/>
  <c r="K57" i="16" s="1"/>
  <c r="L57" i="16" s="1"/>
  <c r="AY55" i="16"/>
  <c r="AZ55" i="16" s="1"/>
  <c r="BA55" i="16" s="1"/>
  <c r="AU55" i="16"/>
  <c r="AV55" i="16" s="1"/>
  <c r="O56" i="16"/>
  <c r="N56" i="16"/>
  <c r="H56" i="16"/>
  <c r="I56" i="16" s="1"/>
  <c r="J56" i="16" s="1"/>
  <c r="K56" i="16" s="1"/>
  <c r="L56" i="16" s="1"/>
  <c r="D55" i="16"/>
  <c r="AY54" i="16"/>
  <c r="AZ54" i="16" s="1"/>
  <c r="BA54" i="16" s="1"/>
  <c r="AU54" i="16"/>
  <c r="AV54" i="16" s="1"/>
  <c r="O55" i="16"/>
  <c r="N55" i="16"/>
  <c r="H55" i="16"/>
  <c r="I55" i="16" s="1"/>
  <c r="J55" i="16" s="1"/>
  <c r="K55" i="16" s="1"/>
  <c r="L55" i="16" s="1"/>
  <c r="D54" i="16"/>
  <c r="AY53" i="16"/>
  <c r="AZ53" i="16" s="1"/>
  <c r="BA53" i="16" s="1"/>
  <c r="AV53" i="16"/>
  <c r="AU53" i="16"/>
  <c r="O54" i="16"/>
  <c r="N54" i="16"/>
  <c r="H54" i="16"/>
  <c r="I54" i="16" s="1"/>
  <c r="J54" i="16" s="1"/>
  <c r="K54" i="16" s="1"/>
  <c r="L54" i="16" s="1"/>
  <c r="AY52" i="16"/>
  <c r="AZ52" i="16" s="1"/>
  <c r="BA52" i="16" s="1"/>
  <c r="AU52" i="16"/>
  <c r="AV52" i="16" s="1"/>
  <c r="O53" i="16"/>
  <c r="N53" i="16"/>
  <c r="H53" i="16"/>
  <c r="I53" i="16" s="1"/>
  <c r="J53" i="16" s="1"/>
  <c r="K53" i="16" s="1"/>
  <c r="L53" i="16" s="1"/>
  <c r="AY51" i="16"/>
  <c r="AZ51" i="16" s="1"/>
  <c r="BA51" i="16" s="1"/>
  <c r="AU51" i="16"/>
  <c r="AV51" i="16" s="1"/>
  <c r="O52" i="16"/>
  <c r="N52" i="16"/>
  <c r="H52" i="16"/>
  <c r="I52" i="16" s="1"/>
  <c r="J52" i="16" s="1"/>
  <c r="K52" i="16" s="1"/>
  <c r="L52" i="16" s="1"/>
  <c r="E51" i="16"/>
  <c r="AY50" i="16"/>
  <c r="AZ50" i="16" s="1"/>
  <c r="BA50" i="16" s="1"/>
  <c r="AU50" i="16"/>
  <c r="AV50" i="16" s="1"/>
  <c r="O51" i="16"/>
  <c r="N51" i="16"/>
  <c r="H51" i="16"/>
  <c r="I51" i="16" s="1"/>
  <c r="J51" i="16" s="1"/>
  <c r="K51" i="16" s="1"/>
  <c r="L51" i="16" s="1"/>
  <c r="E50" i="16"/>
  <c r="AY49" i="16"/>
  <c r="AZ49" i="16" s="1"/>
  <c r="BA49" i="16" s="1"/>
  <c r="AV49" i="16"/>
  <c r="AU49" i="16"/>
  <c r="O50" i="16"/>
  <c r="N50" i="16"/>
  <c r="H50" i="16"/>
  <c r="I50" i="16" s="1"/>
  <c r="J50" i="16" s="1"/>
  <c r="K50" i="16" s="1"/>
  <c r="L50" i="16" s="1"/>
  <c r="AY48" i="16"/>
  <c r="AZ48" i="16" s="1"/>
  <c r="BA48" i="16" s="1"/>
  <c r="AU48" i="16"/>
  <c r="AV48" i="16" s="1"/>
  <c r="O49" i="16"/>
  <c r="N49" i="16"/>
  <c r="H49" i="16"/>
  <c r="I49" i="16" s="1"/>
  <c r="J49" i="16" s="1"/>
  <c r="K49" i="16" s="1"/>
  <c r="L49" i="16" s="1"/>
  <c r="AY47" i="16"/>
  <c r="AZ47" i="16" s="1"/>
  <c r="BA47" i="16" s="1"/>
  <c r="AU47" i="16"/>
  <c r="AV47" i="16" s="1"/>
  <c r="O48" i="16"/>
  <c r="N48" i="16"/>
  <c r="H48" i="16"/>
  <c r="I48" i="16" s="1"/>
  <c r="J48" i="16" s="1"/>
  <c r="K48" i="16" s="1"/>
  <c r="L48" i="16" s="1"/>
  <c r="AY46" i="16"/>
  <c r="AZ46" i="16" s="1"/>
  <c r="BA46" i="16" s="1"/>
  <c r="AU46" i="16"/>
  <c r="AV46" i="16" s="1"/>
  <c r="Q56" i="16"/>
  <c r="R56" i="16" s="1"/>
  <c r="S56" i="16" s="1"/>
  <c r="T56" i="16" s="1"/>
  <c r="O47" i="16"/>
  <c r="N47" i="16"/>
  <c r="H47" i="16"/>
  <c r="I47" i="16" s="1"/>
  <c r="J47" i="16" s="1"/>
  <c r="K47" i="16" s="1"/>
  <c r="L47" i="16" s="1"/>
  <c r="AY45" i="16"/>
  <c r="AZ45" i="16" s="1"/>
  <c r="BA45" i="16" s="1"/>
  <c r="AU45" i="16"/>
  <c r="AV45" i="16" s="1"/>
  <c r="Q55" i="16"/>
  <c r="R55" i="16" s="1"/>
  <c r="S55" i="16" s="1"/>
  <c r="T55" i="16" s="1"/>
  <c r="O46" i="16"/>
  <c r="N46" i="16"/>
  <c r="H46" i="16"/>
  <c r="I46" i="16" s="1"/>
  <c r="J46" i="16" s="1"/>
  <c r="K46" i="16" s="1"/>
  <c r="L46" i="16" s="1"/>
  <c r="AY44" i="16"/>
  <c r="AZ44" i="16" s="1"/>
  <c r="BA44" i="16" s="1"/>
  <c r="AU44" i="16"/>
  <c r="AV44" i="16" s="1"/>
  <c r="T54" i="16"/>
  <c r="S54" i="16"/>
  <c r="R54" i="16"/>
  <c r="O45" i="16"/>
  <c r="N45" i="16"/>
  <c r="H45" i="16"/>
  <c r="I45" i="16" s="1"/>
  <c r="J45" i="16" s="1"/>
  <c r="K45" i="16" s="1"/>
  <c r="L45" i="16" s="1"/>
  <c r="AY43" i="16"/>
  <c r="AZ43" i="16" s="1"/>
  <c r="BA43" i="16" s="1"/>
  <c r="AU43" i="16"/>
  <c r="AV43" i="16" s="1"/>
  <c r="O44" i="16"/>
  <c r="N44" i="16"/>
  <c r="H44" i="16"/>
  <c r="I44" i="16" s="1"/>
  <c r="J44" i="16" s="1"/>
  <c r="K44" i="16" s="1"/>
  <c r="L44" i="16" s="1"/>
  <c r="AY42" i="16"/>
  <c r="AZ42" i="16" s="1"/>
  <c r="BA42" i="16" s="1"/>
  <c r="AU42" i="16"/>
  <c r="AV42" i="16" s="1"/>
  <c r="O43" i="16"/>
  <c r="N43" i="16"/>
  <c r="H43" i="16"/>
  <c r="I43" i="16" s="1"/>
  <c r="J43" i="16" s="1"/>
  <c r="K43" i="16" s="1"/>
  <c r="L43" i="16" s="1"/>
  <c r="AY41" i="16"/>
  <c r="AZ41" i="16" s="1"/>
  <c r="BA41" i="16" s="1"/>
  <c r="AU41" i="16"/>
  <c r="AV41" i="16" s="1"/>
  <c r="O42" i="16"/>
  <c r="N42" i="16"/>
  <c r="H42" i="16"/>
  <c r="I42" i="16" s="1"/>
  <c r="J42" i="16" s="1"/>
  <c r="K42" i="16" s="1"/>
  <c r="L42" i="16" s="1"/>
  <c r="AY40" i="16"/>
  <c r="AZ40" i="16" s="1"/>
  <c r="BA40" i="16" s="1"/>
  <c r="AU40" i="16"/>
  <c r="AV40" i="16" s="1"/>
  <c r="O41" i="16"/>
  <c r="N41" i="16"/>
  <c r="H41" i="16"/>
  <c r="I41" i="16" s="1"/>
  <c r="J41" i="16" s="1"/>
  <c r="K41" i="16" s="1"/>
  <c r="L41" i="16" s="1"/>
  <c r="D40" i="16"/>
  <c r="Q58" i="16" s="1"/>
  <c r="R58" i="16" s="1"/>
  <c r="S58" i="16" s="1"/>
  <c r="T58" i="16" s="1"/>
  <c r="AY39" i="16"/>
  <c r="AZ39" i="16" s="1"/>
  <c r="BA39" i="16" s="1"/>
  <c r="AU39" i="16"/>
  <c r="AV39" i="16" s="1"/>
  <c r="O40" i="16"/>
  <c r="N40" i="16"/>
  <c r="H40" i="16"/>
  <c r="I40" i="16" s="1"/>
  <c r="J40" i="16" s="1"/>
  <c r="K40" i="16" s="1"/>
  <c r="L40" i="16" s="1"/>
  <c r="D39" i="16"/>
  <c r="D43" i="16" s="1"/>
  <c r="AY38" i="16"/>
  <c r="AZ38" i="16" s="1"/>
  <c r="BA38" i="16" s="1"/>
  <c r="AU38" i="16"/>
  <c r="AV38" i="16" s="1"/>
  <c r="O39" i="16"/>
  <c r="N39" i="16"/>
  <c r="H39" i="16"/>
  <c r="I39" i="16" s="1"/>
  <c r="J39" i="16" s="1"/>
  <c r="K39" i="16" s="1"/>
  <c r="L39" i="16" s="1"/>
  <c r="AY37" i="16"/>
  <c r="AZ37" i="16" s="1"/>
  <c r="BA37" i="16" s="1"/>
  <c r="AU37" i="16"/>
  <c r="AV37" i="16" s="1"/>
  <c r="O38" i="16"/>
  <c r="N38" i="16"/>
  <c r="H38" i="16"/>
  <c r="I38" i="16" s="1"/>
  <c r="J38" i="16" s="1"/>
  <c r="K38" i="16" s="1"/>
  <c r="L38" i="16" s="1"/>
  <c r="AY36" i="16"/>
  <c r="AZ36" i="16" s="1"/>
  <c r="BA36" i="16" s="1"/>
  <c r="AU36" i="16"/>
  <c r="AV36" i="16" s="1"/>
  <c r="O37" i="16"/>
  <c r="N37" i="16"/>
  <c r="H37" i="16"/>
  <c r="I37" i="16" s="1"/>
  <c r="J37" i="16" s="1"/>
  <c r="K37" i="16" s="1"/>
  <c r="L37" i="16" s="1"/>
  <c r="AY35" i="16"/>
  <c r="AZ35" i="16" s="1"/>
  <c r="BA35" i="16" s="1"/>
  <c r="AU35" i="16"/>
  <c r="AV35" i="16" s="1"/>
  <c r="O36" i="16"/>
  <c r="N36" i="16"/>
  <c r="H36" i="16"/>
  <c r="I36" i="16" s="1"/>
  <c r="J36" i="16" s="1"/>
  <c r="K36" i="16" s="1"/>
  <c r="L36" i="16" s="1"/>
  <c r="AY34" i="16"/>
  <c r="AZ34" i="16" s="1"/>
  <c r="BA34" i="16" s="1"/>
  <c r="AU34" i="16"/>
  <c r="AV34" i="16" s="1"/>
  <c r="O35" i="16"/>
  <c r="N35" i="16"/>
  <c r="H35" i="16"/>
  <c r="I35" i="16" s="1"/>
  <c r="J35" i="16" s="1"/>
  <c r="K35" i="16" s="1"/>
  <c r="L35" i="16" s="1"/>
  <c r="AY33" i="16"/>
  <c r="AZ33" i="16" s="1"/>
  <c r="BA33" i="16" s="1"/>
  <c r="AU33" i="16"/>
  <c r="AV33" i="16" s="1"/>
  <c r="O34" i="16"/>
  <c r="N34" i="16"/>
  <c r="H34" i="16"/>
  <c r="I34" i="16" s="1"/>
  <c r="J34" i="16" s="1"/>
  <c r="K34" i="16" s="1"/>
  <c r="L34" i="16" s="1"/>
  <c r="AY32" i="16"/>
  <c r="AZ32" i="16" s="1"/>
  <c r="BA32" i="16" s="1"/>
  <c r="AU32" i="16"/>
  <c r="AV32" i="16" s="1"/>
  <c r="O33" i="16"/>
  <c r="N33" i="16"/>
  <c r="H33" i="16"/>
  <c r="I33" i="16" s="1"/>
  <c r="J33" i="16" s="1"/>
  <c r="K33" i="16" s="1"/>
  <c r="L33" i="16" s="1"/>
  <c r="AY31" i="16"/>
  <c r="AZ31" i="16" s="1"/>
  <c r="BA31" i="16" s="1"/>
  <c r="AU31" i="16"/>
  <c r="AV31" i="16" s="1"/>
  <c r="O32" i="16"/>
  <c r="N32" i="16"/>
  <c r="H32" i="16"/>
  <c r="I32" i="16" s="1"/>
  <c r="J32" i="16" s="1"/>
  <c r="K32" i="16" s="1"/>
  <c r="L32" i="16" s="1"/>
  <c r="AY30" i="16"/>
  <c r="AZ30" i="16" s="1"/>
  <c r="BA30" i="16" s="1"/>
  <c r="AU30" i="16"/>
  <c r="AV30" i="16" s="1"/>
  <c r="O31" i="16"/>
  <c r="N31" i="16"/>
  <c r="H31" i="16"/>
  <c r="I31" i="16" s="1"/>
  <c r="J31" i="16" s="1"/>
  <c r="K31" i="16" s="1"/>
  <c r="L31" i="16" s="1"/>
  <c r="D30" i="16"/>
  <c r="AY29" i="16"/>
  <c r="AZ29" i="16" s="1"/>
  <c r="BA29" i="16" s="1"/>
  <c r="AU29" i="16"/>
  <c r="AV29" i="16" s="1"/>
  <c r="O30" i="16"/>
  <c r="N30" i="16"/>
  <c r="H30" i="16"/>
  <c r="I30" i="16" s="1"/>
  <c r="J30" i="16" s="1"/>
  <c r="K30" i="16" s="1"/>
  <c r="L30" i="16" s="1"/>
  <c r="D29" i="16"/>
  <c r="D33" i="16" s="1"/>
  <c r="AY28" i="16"/>
  <c r="AZ28" i="16" s="1"/>
  <c r="BA28" i="16" s="1"/>
  <c r="AU28" i="16"/>
  <c r="AV28" i="16" s="1"/>
  <c r="O29" i="16"/>
  <c r="N29" i="16"/>
  <c r="H29" i="16"/>
  <c r="I29" i="16" s="1"/>
  <c r="J29" i="16" s="1"/>
  <c r="K29" i="16" s="1"/>
  <c r="L29" i="16" s="1"/>
  <c r="AY27" i="16"/>
  <c r="AZ27" i="16" s="1"/>
  <c r="BA27" i="16" s="1"/>
  <c r="AU27" i="16"/>
  <c r="AV27" i="16" s="1"/>
  <c r="O28" i="16"/>
  <c r="N28" i="16"/>
  <c r="H28" i="16"/>
  <c r="I28" i="16" s="1"/>
  <c r="J28" i="16" s="1"/>
  <c r="K28" i="16" s="1"/>
  <c r="L28" i="16" s="1"/>
  <c r="AY26" i="16"/>
  <c r="AZ26" i="16" s="1"/>
  <c r="BA26" i="16" s="1"/>
  <c r="AU26" i="16"/>
  <c r="AV26" i="16" s="1"/>
  <c r="O27" i="16"/>
  <c r="N27" i="16"/>
  <c r="H27" i="16"/>
  <c r="I27" i="16" s="1"/>
  <c r="J27" i="16" s="1"/>
  <c r="K27" i="16" s="1"/>
  <c r="L27" i="16" s="1"/>
  <c r="D26" i="16"/>
  <c r="AY25" i="16"/>
  <c r="AZ25" i="16" s="1"/>
  <c r="BA25" i="16" s="1"/>
  <c r="AU25" i="16"/>
  <c r="AV25" i="16" s="1"/>
  <c r="O26" i="16"/>
  <c r="N26" i="16"/>
  <c r="H26" i="16"/>
  <c r="I26" i="16" s="1"/>
  <c r="J26" i="16" s="1"/>
  <c r="K26" i="16" s="1"/>
  <c r="L26" i="16" s="1"/>
  <c r="AY24" i="16"/>
  <c r="AZ24" i="16" s="1"/>
  <c r="BA24" i="16" s="1"/>
  <c r="AU24" i="16"/>
  <c r="AV24" i="16" s="1"/>
  <c r="O25" i="16"/>
  <c r="N25" i="16"/>
  <c r="H25" i="16"/>
  <c r="I25" i="16" s="1"/>
  <c r="J25" i="16" s="1"/>
  <c r="K25" i="16" s="1"/>
  <c r="L25" i="16" s="1"/>
  <c r="AY23" i="16"/>
  <c r="AZ23" i="16" s="1"/>
  <c r="BA23" i="16" s="1"/>
  <c r="AU23" i="16"/>
  <c r="AV23" i="16" s="1"/>
  <c r="O24" i="16"/>
  <c r="N24" i="16"/>
  <c r="H24" i="16"/>
  <c r="I24" i="16" s="1"/>
  <c r="J24" i="16" s="1"/>
  <c r="K24" i="16" s="1"/>
  <c r="L24" i="16" s="1"/>
  <c r="E23" i="16"/>
  <c r="D23" i="16"/>
  <c r="AY22" i="16"/>
  <c r="AZ22" i="16" s="1"/>
  <c r="BA22" i="16" s="1"/>
  <c r="AU22" i="16"/>
  <c r="AV22" i="16" s="1"/>
  <c r="O23" i="16"/>
  <c r="N23" i="16"/>
  <c r="H23" i="16"/>
  <c r="I23" i="16" s="1"/>
  <c r="J23" i="16" s="1"/>
  <c r="K23" i="16" s="1"/>
  <c r="L23" i="16" s="1"/>
  <c r="E22" i="16"/>
  <c r="D22" i="16"/>
  <c r="AY21" i="16"/>
  <c r="AZ21" i="16" s="1"/>
  <c r="BA21" i="16" s="1"/>
  <c r="AU21" i="16"/>
  <c r="AV21" i="16" s="1"/>
  <c r="O22" i="16"/>
  <c r="N22" i="16"/>
  <c r="H22" i="16"/>
  <c r="I22" i="16" s="1"/>
  <c r="J22" i="16" s="1"/>
  <c r="K22" i="16" s="1"/>
  <c r="L22" i="16" s="1"/>
  <c r="E21" i="16"/>
  <c r="D21" i="16"/>
  <c r="AY20" i="16"/>
  <c r="AZ20" i="16" s="1"/>
  <c r="BA20" i="16" s="1"/>
  <c r="AU20" i="16"/>
  <c r="AV20" i="16" s="1"/>
  <c r="O21" i="16"/>
  <c r="N21" i="16"/>
  <c r="H21" i="16"/>
  <c r="I21" i="16" s="1"/>
  <c r="J21" i="16" s="1"/>
  <c r="K21" i="16" s="1"/>
  <c r="L21" i="16" s="1"/>
  <c r="E20" i="16"/>
  <c r="AY19" i="16"/>
  <c r="AZ19" i="16" s="1"/>
  <c r="BA19" i="16" s="1"/>
  <c r="AU19" i="16"/>
  <c r="AV19" i="16" s="1"/>
  <c r="O20" i="16"/>
  <c r="N20" i="16"/>
  <c r="H20" i="16"/>
  <c r="I20" i="16" s="1"/>
  <c r="J20" i="16" s="1"/>
  <c r="K20" i="16" s="1"/>
  <c r="L20" i="16" s="1"/>
  <c r="E19" i="16"/>
  <c r="AY18" i="16"/>
  <c r="AZ18" i="16" s="1"/>
  <c r="BA18" i="16" s="1"/>
  <c r="AU18" i="16"/>
  <c r="AV18" i="16" s="1"/>
  <c r="O19" i="16"/>
  <c r="N19" i="16"/>
  <c r="H19" i="16"/>
  <c r="I19" i="16" s="1"/>
  <c r="J19" i="16" s="1"/>
  <c r="K19" i="16" s="1"/>
  <c r="L19" i="16" s="1"/>
  <c r="E18" i="16"/>
  <c r="AY17" i="16"/>
  <c r="AZ17" i="16" s="1"/>
  <c r="BA17" i="16" s="1"/>
  <c r="AU17" i="16"/>
  <c r="AV17" i="16" s="1"/>
  <c r="O18" i="16"/>
  <c r="N18" i="16"/>
  <c r="H18" i="16"/>
  <c r="I18" i="16" s="1"/>
  <c r="J18" i="16" s="1"/>
  <c r="K18" i="16" s="1"/>
  <c r="L18" i="16" s="1"/>
  <c r="AY16" i="16"/>
  <c r="AZ16" i="16" s="1"/>
  <c r="BA16" i="16" s="1"/>
  <c r="AU16" i="16"/>
  <c r="AV16" i="16" s="1"/>
  <c r="O17" i="16"/>
  <c r="N17" i="16"/>
  <c r="H17" i="16"/>
  <c r="I17" i="16" s="1"/>
  <c r="J17" i="16" s="1"/>
  <c r="K17" i="16" s="1"/>
  <c r="L17" i="16" s="1"/>
  <c r="E17" i="16"/>
  <c r="D17" i="16"/>
  <c r="AY15" i="16"/>
  <c r="AZ15" i="16" s="1"/>
  <c r="BA15" i="16" s="1"/>
  <c r="AU15" i="16"/>
  <c r="AV15" i="16" s="1"/>
  <c r="O16" i="16"/>
  <c r="N16" i="16"/>
  <c r="H16" i="16"/>
  <c r="I16" i="16" s="1"/>
  <c r="J16" i="16" s="1"/>
  <c r="K16" i="16" s="1"/>
  <c r="L16" i="16" s="1"/>
  <c r="E16" i="16"/>
  <c r="D16" i="16"/>
  <c r="AY14" i="16"/>
  <c r="AZ14" i="16" s="1"/>
  <c r="BA14" i="16" s="1"/>
  <c r="AU14" i="16"/>
  <c r="AV14" i="16" s="1"/>
  <c r="O15" i="16"/>
  <c r="N15" i="16"/>
  <c r="H15" i="16"/>
  <c r="I15" i="16" s="1"/>
  <c r="J15" i="16" s="1"/>
  <c r="K15" i="16" s="1"/>
  <c r="L15" i="16" s="1"/>
  <c r="E15" i="16"/>
  <c r="D15" i="16"/>
  <c r="AY13" i="16"/>
  <c r="AZ13" i="16" s="1"/>
  <c r="BA13" i="16" s="1"/>
  <c r="AU13" i="16"/>
  <c r="AV13" i="16" s="1"/>
  <c r="O14" i="16"/>
  <c r="N14" i="16"/>
  <c r="H14" i="16"/>
  <c r="I14" i="16" s="1"/>
  <c r="J14" i="16" s="1"/>
  <c r="K14" i="16" s="1"/>
  <c r="L14" i="16" s="1"/>
  <c r="E14" i="16"/>
  <c r="D14" i="16"/>
  <c r="AY12" i="16"/>
  <c r="AZ12" i="16" s="1"/>
  <c r="BA12" i="16" s="1"/>
  <c r="AU12" i="16"/>
  <c r="AV12" i="16" s="1"/>
  <c r="O13" i="16"/>
  <c r="N13" i="16"/>
  <c r="H13" i="16"/>
  <c r="I13" i="16" s="1"/>
  <c r="J13" i="16" s="1"/>
  <c r="K13" i="16" s="1"/>
  <c r="L13" i="16" s="1"/>
  <c r="E13" i="16"/>
  <c r="D13" i="16"/>
  <c r="AY11" i="16"/>
  <c r="AZ11" i="16" s="1"/>
  <c r="BA11" i="16" s="1"/>
  <c r="AU11" i="16"/>
  <c r="AV11" i="16" s="1"/>
  <c r="O12" i="16"/>
  <c r="N12" i="16"/>
  <c r="H12" i="16"/>
  <c r="I12" i="16" s="1"/>
  <c r="J12" i="16" s="1"/>
  <c r="K12" i="16" s="1"/>
  <c r="L12" i="16" s="1"/>
  <c r="AY10" i="16"/>
  <c r="AZ10" i="16" s="1"/>
  <c r="BA10" i="16" s="1"/>
  <c r="AV10" i="16"/>
  <c r="AU10" i="16"/>
  <c r="O11" i="16"/>
  <c r="N11" i="16"/>
  <c r="H11" i="16"/>
  <c r="I11" i="16" s="1"/>
  <c r="J11" i="16" s="1"/>
  <c r="K11" i="16" s="1"/>
  <c r="L11" i="16" s="1"/>
  <c r="AY9" i="16"/>
  <c r="AZ9" i="16" s="1"/>
  <c r="BA9" i="16" s="1"/>
  <c r="AU9" i="16"/>
  <c r="AV9" i="16" s="1"/>
  <c r="O10" i="16"/>
  <c r="N10" i="16"/>
  <c r="H10" i="16"/>
  <c r="I10" i="16" s="1"/>
  <c r="J10" i="16" s="1"/>
  <c r="K10" i="16" s="1"/>
  <c r="L10" i="16" s="1"/>
  <c r="AY8" i="16"/>
  <c r="AZ8" i="16" s="1"/>
  <c r="BA8" i="16" s="1"/>
  <c r="AV8" i="16"/>
  <c r="AU8" i="16"/>
  <c r="O9" i="16"/>
  <c r="N9" i="16"/>
  <c r="H9" i="16"/>
  <c r="I9" i="16" s="1"/>
  <c r="J9" i="16" s="1"/>
  <c r="K9" i="16" s="1"/>
  <c r="L9" i="16" s="1"/>
  <c r="AY7" i="16"/>
  <c r="AZ7" i="16" s="1"/>
  <c r="BA7" i="16" s="1"/>
  <c r="AU7" i="16"/>
  <c r="AV7" i="16" s="1"/>
  <c r="O8" i="16"/>
  <c r="N8" i="16"/>
  <c r="H8" i="16"/>
  <c r="I8" i="16" s="1"/>
  <c r="J8" i="16" s="1"/>
  <c r="K8" i="16" s="1"/>
  <c r="L8" i="16" s="1"/>
  <c r="F8" i="16"/>
  <c r="AY6" i="16"/>
  <c r="AZ6" i="16" s="1"/>
  <c r="BA6" i="16" s="1"/>
  <c r="AU6" i="16"/>
  <c r="AV6" i="16" s="1"/>
  <c r="O7" i="16"/>
  <c r="N7" i="16"/>
  <c r="H7" i="16"/>
  <c r="I7" i="16" s="1"/>
  <c r="J7" i="16" s="1"/>
  <c r="K7" i="16" s="1"/>
  <c r="L7" i="16" s="1"/>
  <c r="F7" i="16"/>
  <c r="AY5" i="16"/>
  <c r="AZ5" i="16" s="1"/>
  <c r="BA5" i="16" s="1"/>
  <c r="AU5" i="16"/>
  <c r="AV5" i="16" s="1"/>
  <c r="O6" i="16"/>
  <c r="N6" i="16"/>
  <c r="H6" i="16"/>
  <c r="I6" i="16" s="1"/>
  <c r="J6" i="16" s="1"/>
  <c r="K6" i="16" s="1"/>
  <c r="L6" i="16" s="1"/>
  <c r="AY4" i="16"/>
  <c r="AZ4" i="16" s="1"/>
  <c r="BA4" i="16" s="1"/>
  <c r="AU4" i="16"/>
  <c r="AV4" i="16" s="1"/>
  <c r="O5" i="16"/>
  <c r="N5" i="16"/>
  <c r="H5" i="16"/>
  <c r="I5" i="16" s="1"/>
  <c r="J5" i="16" s="1"/>
  <c r="K5" i="16" s="1"/>
  <c r="L5" i="16" s="1"/>
  <c r="AY3" i="16"/>
  <c r="AZ3" i="16" s="1"/>
  <c r="BA3" i="16" s="1"/>
  <c r="AU3" i="16"/>
  <c r="AV3" i="16" s="1"/>
  <c r="O4" i="16"/>
  <c r="N4" i="16"/>
  <c r="H4" i="16"/>
  <c r="I4" i="16" s="1"/>
  <c r="J4" i="16" s="1"/>
  <c r="K4" i="16" s="1"/>
  <c r="L4" i="16" s="1"/>
  <c r="AY2" i="16"/>
  <c r="AZ2" i="16" s="1"/>
  <c r="BA2" i="16" s="1"/>
  <c r="AU2" i="16"/>
  <c r="AV2" i="16" s="1"/>
  <c r="X11" i="16"/>
  <c r="R11" i="16"/>
  <c r="S11" i="16" s="1"/>
  <c r="T11" i="16" s="1"/>
  <c r="O3" i="16"/>
  <c r="N3" i="16"/>
  <c r="H3" i="16"/>
  <c r="I3" i="16" s="1"/>
  <c r="J3" i="16" s="1"/>
  <c r="K3" i="16" s="1"/>
  <c r="L3" i="16" s="1"/>
  <c r="D23" i="15"/>
  <c r="E23" i="15"/>
  <c r="D21" i="15"/>
  <c r="D22" i="15"/>
  <c r="E21" i="15"/>
  <c r="AR23" i="15"/>
  <c r="AY3" i="15"/>
  <c r="AZ3" i="15" s="1"/>
  <c r="BA3" i="15" s="1"/>
  <c r="AY4" i="15"/>
  <c r="AZ4" i="15" s="1"/>
  <c r="BA4" i="15" s="1"/>
  <c r="AY5" i="15"/>
  <c r="AZ5" i="15" s="1"/>
  <c r="BA5" i="15" s="1"/>
  <c r="AY6" i="15"/>
  <c r="AZ6" i="15" s="1"/>
  <c r="BA6" i="15" s="1"/>
  <c r="AY7" i="15"/>
  <c r="AZ7" i="15" s="1"/>
  <c r="BA7" i="15" s="1"/>
  <c r="AY8" i="15"/>
  <c r="AZ8" i="15" s="1"/>
  <c r="BA8" i="15" s="1"/>
  <c r="AY9" i="15"/>
  <c r="AZ9" i="15" s="1"/>
  <c r="BA9" i="15" s="1"/>
  <c r="AY10" i="15"/>
  <c r="AZ10" i="15" s="1"/>
  <c r="BA10" i="15" s="1"/>
  <c r="AY11" i="15"/>
  <c r="AZ11" i="15" s="1"/>
  <c r="BA11" i="15" s="1"/>
  <c r="AY12" i="15"/>
  <c r="AZ12" i="15" s="1"/>
  <c r="BA12" i="15" s="1"/>
  <c r="AY13" i="15"/>
  <c r="AZ13" i="15" s="1"/>
  <c r="BA13" i="15" s="1"/>
  <c r="AY14" i="15"/>
  <c r="AZ14" i="15" s="1"/>
  <c r="BA14" i="15" s="1"/>
  <c r="AY15" i="15"/>
  <c r="AZ15" i="15" s="1"/>
  <c r="BA15" i="15" s="1"/>
  <c r="AY16" i="15"/>
  <c r="AZ16" i="15" s="1"/>
  <c r="BA16" i="15" s="1"/>
  <c r="AY17" i="15"/>
  <c r="AZ17" i="15" s="1"/>
  <c r="BA17" i="15" s="1"/>
  <c r="AY18" i="15"/>
  <c r="AZ18" i="15" s="1"/>
  <c r="BA18" i="15" s="1"/>
  <c r="AY19" i="15"/>
  <c r="AZ19" i="15" s="1"/>
  <c r="BA19" i="15" s="1"/>
  <c r="AY20" i="15"/>
  <c r="AZ20" i="15" s="1"/>
  <c r="BA20" i="15" s="1"/>
  <c r="AY21" i="15"/>
  <c r="AZ21" i="15" s="1"/>
  <c r="BA21" i="15" s="1"/>
  <c r="AY22" i="15"/>
  <c r="AZ22" i="15" s="1"/>
  <c r="BA22" i="15" s="1"/>
  <c r="AY23" i="15"/>
  <c r="AZ23" i="15" s="1"/>
  <c r="BA23" i="15" s="1"/>
  <c r="AY24" i="15"/>
  <c r="AZ24" i="15" s="1"/>
  <c r="BA24" i="15" s="1"/>
  <c r="AY25" i="15"/>
  <c r="AZ25" i="15" s="1"/>
  <c r="BA25" i="15" s="1"/>
  <c r="AY26" i="15"/>
  <c r="AZ26" i="15" s="1"/>
  <c r="BA26" i="15" s="1"/>
  <c r="AY27" i="15"/>
  <c r="AZ27" i="15" s="1"/>
  <c r="BA27" i="15" s="1"/>
  <c r="AY28" i="15"/>
  <c r="AZ28" i="15" s="1"/>
  <c r="BA28" i="15" s="1"/>
  <c r="AY29" i="15"/>
  <c r="AZ29" i="15" s="1"/>
  <c r="BA29" i="15" s="1"/>
  <c r="AY30" i="15"/>
  <c r="AZ30" i="15" s="1"/>
  <c r="BA30" i="15" s="1"/>
  <c r="AY31" i="15"/>
  <c r="AZ31" i="15" s="1"/>
  <c r="BA31" i="15" s="1"/>
  <c r="AY32" i="15"/>
  <c r="AZ32" i="15" s="1"/>
  <c r="BA32" i="15" s="1"/>
  <c r="AY33" i="15"/>
  <c r="AZ33" i="15" s="1"/>
  <c r="BA33" i="15" s="1"/>
  <c r="AY34" i="15"/>
  <c r="AZ34" i="15" s="1"/>
  <c r="BA34" i="15" s="1"/>
  <c r="AY35" i="15"/>
  <c r="AZ35" i="15" s="1"/>
  <c r="BA35" i="15" s="1"/>
  <c r="AY36" i="15"/>
  <c r="AZ36" i="15" s="1"/>
  <c r="BA36" i="15" s="1"/>
  <c r="AY37" i="15"/>
  <c r="AZ37" i="15" s="1"/>
  <c r="BA37" i="15" s="1"/>
  <c r="AY38" i="15"/>
  <c r="AZ38" i="15" s="1"/>
  <c r="BA38" i="15" s="1"/>
  <c r="AY39" i="15"/>
  <c r="AZ39" i="15" s="1"/>
  <c r="BA39" i="15" s="1"/>
  <c r="AY40" i="15"/>
  <c r="AZ40" i="15" s="1"/>
  <c r="BA40" i="15" s="1"/>
  <c r="AY41" i="15"/>
  <c r="AZ41" i="15" s="1"/>
  <c r="BA41" i="15" s="1"/>
  <c r="AY42" i="15"/>
  <c r="AZ42" i="15" s="1"/>
  <c r="BA42" i="15" s="1"/>
  <c r="AY43" i="15"/>
  <c r="AZ43" i="15" s="1"/>
  <c r="BA43" i="15" s="1"/>
  <c r="AY44" i="15"/>
  <c r="AZ44" i="15" s="1"/>
  <c r="BA44" i="15" s="1"/>
  <c r="AY45" i="15"/>
  <c r="AZ45" i="15" s="1"/>
  <c r="BA45" i="15" s="1"/>
  <c r="AY46" i="15"/>
  <c r="AZ46" i="15" s="1"/>
  <c r="BA46" i="15" s="1"/>
  <c r="AY47" i="15"/>
  <c r="AZ47" i="15" s="1"/>
  <c r="BA47" i="15" s="1"/>
  <c r="AY48" i="15"/>
  <c r="AZ48" i="15" s="1"/>
  <c r="BA48" i="15" s="1"/>
  <c r="AY49" i="15"/>
  <c r="AZ49" i="15"/>
  <c r="BA49" i="15" s="1"/>
  <c r="AY50" i="15"/>
  <c r="AZ50" i="15" s="1"/>
  <c r="BA50" i="15" s="1"/>
  <c r="AY51" i="15"/>
  <c r="AZ51" i="15" s="1"/>
  <c r="BA51" i="15" s="1"/>
  <c r="AY52" i="15"/>
  <c r="AZ52" i="15" s="1"/>
  <c r="BA52" i="15" s="1"/>
  <c r="AY53" i="15"/>
  <c r="AZ53" i="15" s="1"/>
  <c r="BA53" i="15" s="1"/>
  <c r="AY54" i="15"/>
  <c r="AZ54" i="15" s="1"/>
  <c r="BA54" i="15" s="1"/>
  <c r="AY55" i="15"/>
  <c r="AZ55" i="15" s="1"/>
  <c r="BA55" i="15" s="1"/>
  <c r="AY56" i="15"/>
  <c r="AZ56" i="15" s="1"/>
  <c r="BA56" i="15" s="1"/>
  <c r="AY57" i="15"/>
  <c r="AZ57" i="15" s="1"/>
  <c r="BA57" i="15" s="1"/>
  <c r="AY58" i="15"/>
  <c r="AZ58" i="15"/>
  <c r="BA58" i="15" s="1"/>
  <c r="AY59" i="15"/>
  <c r="AZ59" i="15" s="1"/>
  <c r="BA59" i="15" s="1"/>
  <c r="AY60" i="15"/>
  <c r="AZ60" i="15" s="1"/>
  <c r="BA60" i="15" s="1"/>
  <c r="AY61" i="15"/>
  <c r="AZ61" i="15" s="1"/>
  <c r="BA61" i="15" s="1"/>
  <c r="AY62" i="15"/>
  <c r="AZ62" i="15" s="1"/>
  <c r="BA62" i="15" s="1"/>
  <c r="AY63" i="15"/>
  <c r="AZ63" i="15" s="1"/>
  <c r="BA63" i="15" s="1"/>
  <c r="AY64" i="15"/>
  <c r="AZ64" i="15" s="1"/>
  <c r="BA64" i="15" s="1"/>
  <c r="AY65" i="15"/>
  <c r="AZ65" i="15"/>
  <c r="BA65" i="15" s="1"/>
  <c r="AY66" i="15"/>
  <c r="AZ66" i="15" s="1"/>
  <c r="BA66" i="15" s="1"/>
  <c r="AY67" i="15"/>
  <c r="AZ67" i="15" s="1"/>
  <c r="BA67" i="15" s="1"/>
  <c r="AY68" i="15"/>
  <c r="AZ68" i="15" s="1"/>
  <c r="BA68" i="15" s="1"/>
  <c r="AY69" i="15"/>
  <c r="AZ69" i="15" s="1"/>
  <c r="BA69" i="15" s="1"/>
  <c r="AY70" i="15"/>
  <c r="AZ70" i="15" s="1"/>
  <c r="BA70" i="15" s="1"/>
  <c r="AY71" i="15"/>
  <c r="AZ71" i="15" s="1"/>
  <c r="BA71" i="15" s="1"/>
  <c r="AY72" i="15"/>
  <c r="AZ72" i="15" s="1"/>
  <c r="BA72" i="15" s="1"/>
  <c r="AY73" i="15"/>
  <c r="AZ73" i="15" s="1"/>
  <c r="BA73" i="15" s="1"/>
  <c r="AY74" i="15"/>
  <c r="AZ74" i="15" s="1"/>
  <c r="BA74" i="15" s="1"/>
  <c r="AY75" i="15"/>
  <c r="AZ75" i="15" s="1"/>
  <c r="BA75" i="15" s="1"/>
  <c r="AY76" i="15"/>
  <c r="AZ76" i="15" s="1"/>
  <c r="BA76" i="15" s="1"/>
  <c r="AY77" i="15"/>
  <c r="AZ77" i="15" s="1"/>
  <c r="BA77" i="15" s="1"/>
  <c r="AY78" i="15"/>
  <c r="AZ78" i="15" s="1"/>
  <c r="BA78" i="15" s="1"/>
  <c r="AY79" i="15"/>
  <c r="AZ79" i="15" s="1"/>
  <c r="BA79" i="15" s="1"/>
  <c r="AY80" i="15"/>
  <c r="AZ80" i="15" s="1"/>
  <c r="BA80" i="15" s="1"/>
  <c r="AY81" i="15"/>
  <c r="AZ81" i="15"/>
  <c r="BA81" i="15" s="1"/>
  <c r="AY82" i="15"/>
  <c r="AZ82" i="15"/>
  <c r="BA82" i="15" s="1"/>
  <c r="AY83" i="15"/>
  <c r="AZ83" i="15" s="1"/>
  <c r="BA83" i="15" s="1"/>
  <c r="AY84" i="15"/>
  <c r="AZ84" i="15" s="1"/>
  <c r="BA84" i="15" s="1"/>
  <c r="AY85" i="15"/>
  <c r="AZ85" i="15" s="1"/>
  <c r="BA85" i="15" s="1"/>
  <c r="AY86" i="15"/>
  <c r="AZ86" i="15" s="1"/>
  <c r="BA86" i="15" s="1"/>
  <c r="AY87" i="15"/>
  <c r="AZ87" i="15" s="1"/>
  <c r="BA87" i="15" s="1"/>
  <c r="AY88" i="15"/>
  <c r="AZ88" i="15" s="1"/>
  <c r="BA88" i="15" s="1"/>
  <c r="AY89" i="15"/>
  <c r="AZ89" i="15" s="1"/>
  <c r="BA89" i="15" s="1"/>
  <c r="AY90" i="15"/>
  <c r="AZ90" i="15" s="1"/>
  <c r="BA90" i="15" s="1"/>
  <c r="AY91" i="15"/>
  <c r="AZ91" i="15" s="1"/>
  <c r="BA91" i="15" s="1"/>
  <c r="AY92" i="15"/>
  <c r="AZ92" i="15" s="1"/>
  <c r="BA92" i="15" s="1"/>
  <c r="AY93" i="15"/>
  <c r="AZ93" i="15" s="1"/>
  <c r="BA93" i="15" s="1"/>
  <c r="AY2" i="15"/>
  <c r="AZ2" i="15" s="1"/>
  <c r="BA2" i="15" s="1"/>
  <c r="X11" i="15"/>
  <c r="AV18" i="15"/>
  <c r="AU3" i="15"/>
  <c r="AU4" i="15"/>
  <c r="AU5" i="15"/>
  <c r="AU6" i="15"/>
  <c r="AU7" i="15"/>
  <c r="AU8" i="15"/>
  <c r="AU9" i="15"/>
  <c r="AU10" i="15"/>
  <c r="AU11" i="15"/>
  <c r="AU12" i="15"/>
  <c r="AU13" i="15"/>
  <c r="AU14" i="15"/>
  <c r="AU15" i="15"/>
  <c r="AU16" i="15"/>
  <c r="AU17" i="15"/>
  <c r="AU18" i="15"/>
  <c r="AU19" i="15"/>
  <c r="AU20" i="15"/>
  <c r="AU21" i="15"/>
  <c r="AU22" i="15"/>
  <c r="AU23" i="15"/>
  <c r="AU24" i="15"/>
  <c r="AU25" i="15"/>
  <c r="AU26" i="15"/>
  <c r="AU27" i="15"/>
  <c r="AU28" i="15"/>
  <c r="AU29" i="15"/>
  <c r="AU30" i="15"/>
  <c r="AU31" i="15"/>
  <c r="AU32" i="15"/>
  <c r="AU33" i="15"/>
  <c r="AU34" i="15"/>
  <c r="AU35" i="15"/>
  <c r="AU36" i="15"/>
  <c r="AU37" i="15"/>
  <c r="AU38" i="15"/>
  <c r="AU39" i="15"/>
  <c r="AU40" i="15"/>
  <c r="AU41" i="15"/>
  <c r="AU42" i="15"/>
  <c r="AU43" i="15"/>
  <c r="AU44" i="15"/>
  <c r="AU45" i="15"/>
  <c r="AU46" i="15"/>
  <c r="AU47" i="15"/>
  <c r="AU48" i="15"/>
  <c r="AU49" i="15"/>
  <c r="AU50" i="15"/>
  <c r="AU51" i="15"/>
  <c r="AU52" i="15"/>
  <c r="AU53" i="15"/>
  <c r="AU54" i="15"/>
  <c r="AU55" i="15"/>
  <c r="AU56" i="15"/>
  <c r="AU57" i="15"/>
  <c r="AU58" i="15"/>
  <c r="AU59" i="15"/>
  <c r="AU60" i="15"/>
  <c r="AU61" i="15"/>
  <c r="AU62" i="15"/>
  <c r="AU63" i="15"/>
  <c r="AU64" i="15"/>
  <c r="AU65" i="15"/>
  <c r="AU66" i="15"/>
  <c r="AU67" i="15"/>
  <c r="AU68" i="15"/>
  <c r="AU69" i="15"/>
  <c r="AU70" i="15"/>
  <c r="AU71" i="15"/>
  <c r="AU72" i="15"/>
  <c r="AU73" i="15"/>
  <c r="AU74" i="15"/>
  <c r="AU75" i="15"/>
  <c r="AU76" i="15"/>
  <c r="AU77" i="15"/>
  <c r="AU78" i="15"/>
  <c r="AU79" i="15"/>
  <c r="AU80" i="15"/>
  <c r="AU81" i="15"/>
  <c r="AU82" i="15"/>
  <c r="AV82" i="15" s="1"/>
  <c r="AU83" i="15"/>
  <c r="AU84" i="15"/>
  <c r="AU85" i="15"/>
  <c r="AU86" i="15"/>
  <c r="AU87" i="15"/>
  <c r="AU88" i="15"/>
  <c r="AU89" i="15"/>
  <c r="AU90" i="15"/>
  <c r="AU91" i="15"/>
  <c r="AV91" i="15" s="1"/>
  <c r="AU92" i="15"/>
  <c r="AU93" i="15"/>
  <c r="AU2" i="15"/>
  <c r="D29" i="15"/>
  <c r="E22" i="15"/>
  <c r="D40" i="15"/>
  <c r="Q57" i="15" s="1"/>
  <c r="D39" i="15"/>
  <c r="F56" i="15"/>
  <c r="F23" i="16"/>
  <c r="F55" i="16"/>
  <c r="F61" i="16"/>
  <c r="F54" i="15"/>
  <c r="F43" i="15"/>
  <c r="E40" i="15"/>
  <c r="F23" i="15"/>
  <c r="F22" i="15"/>
  <c r="F21" i="16"/>
  <c r="E40" i="16"/>
  <c r="F33" i="15"/>
  <c r="E39" i="15"/>
  <c r="F17" i="16"/>
  <c r="F54" i="16"/>
  <c r="E78" i="16"/>
  <c r="E73" i="16"/>
  <c r="F63" i="16"/>
  <c r="F13" i="16"/>
  <c r="F69" i="16"/>
  <c r="E9" i="16"/>
  <c r="E39" i="16"/>
  <c r="E80" i="16"/>
  <c r="F31" i="15"/>
  <c r="F70" i="16"/>
  <c r="F32" i="15"/>
  <c r="F50" i="16"/>
  <c r="F20" i="16"/>
  <c r="F42" i="16"/>
  <c r="F15" i="16"/>
  <c r="E79" i="16"/>
  <c r="F57" i="15"/>
  <c r="F5" i="16"/>
  <c r="E78" i="15"/>
  <c r="F65" i="16"/>
  <c r="F32" i="16"/>
  <c r="F31" i="16"/>
  <c r="F25" i="16"/>
  <c r="F69" i="15"/>
  <c r="F56" i="16"/>
  <c r="F29" i="15"/>
  <c r="F29" i="16"/>
  <c r="E77" i="16"/>
  <c r="F19" i="16"/>
  <c r="F30" i="15"/>
  <c r="F18" i="16"/>
  <c r="F64" i="16"/>
  <c r="E75" i="16"/>
  <c r="F41" i="15"/>
  <c r="F57" i="16"/>
  <c r="E76" i="16"/>
  <c r="F33" i="16"/>
  <c r="F30" i="16"/>
  <c r="F16" i="16"/>
  <c r="F22" i="16"/>
  <c r="F55" i="15"/>
  <c r="F42" i="15"/>
  <c r="F26" i="16"/>
  <c r="F41" i="16"/>
  <c r="F70" i="15"/>
  <c r="E10" i="16"/>
  <c r="E80" i="15"/>
  <c r="F21" i="15"/>
  <c r="E74" i="16"/>
  <c r="E79" i="15"/>
  <c r="E75" i="15"/>
  <c r="F43" i="16"/>
  <c r="E77" i="15"/>
  <c r="F62" i="16"/>
  <c r="F14" i="16"/>
  <c r="F51" i="16"/>
  <c r="D78" i="17" l="1"/>
  <c r="D80" i="17" s="1"/>
  <c r="D77" i="17"/>
  <c r="D79" i="17" s="1"/>
  <c r="D69" i="17"/>
  <c r="D70" i="17" s="1"/>
  <c r="Q12" i="17" s="1"/>
  <c r="D56" i="17"/>
  <c r="D58" i="17" s="1"/>
  <c r="D42" i="17"/>
  <c r="AV90" i="15"/>
  <c r="AV74" i="15"/>
  <c r="AV66" i="15"/>
  <c r="AV58" i="15"/>
  <c r="AV50" i="15"/>
  <c r="AV42" i="15"/>
  <c r="AV34" i="15"/>
  <c r="AV26" i="15"/>
  <c r="AV10" i="15"/>
  <c r="F9" i="16"/>
  <c r="F10" i="16" s="1"/>
  <c r="U11" i="16"/>
  <c r="D36" i="16"/>
  <c r="D31" i="16"/>
  <c r="D46" i="16"/>
  <c r="E5" i="16"/>
  <c r="D73" i="16"/>
  <c r="D75" i="16"/>
  <c r="D57" i="16"/>
  <c r="D76" i="16"/>
  <c r="D74" i="16"/>
  <c r="D32" i="16"/>
  <c r="D35" i="16" s="1"/>
  <c r="D41" i="16"/>
  <c r="D69" i="16" s="1"/>
  <c r="Q57" i="16"/>
  <c r="R57" i="16" s="1"/>
  <c r="S57" i="16" s="1"/>
  <c r="T57" i="16" s="1"/>
  <c r="AV88" i="15"/>
  <c r="AV80" i="15"/>
  <c r="AV72" i="15"/>
  <c r="AV64" i="15"/>
  <c r="AV56" i="15"/>
  <c r="AV48" i="15"/>
  <c r="AV40" i="15"/>
  <c r="AV32" i="15"/>
  <c r="AV24" i="15"/>
  <c r="AV16" i="15"/>
  <c r="AV8" i="15"/>
  <c r="AV87" i="15"/>
  <c r="AV79" i="15"/>
  <c r="AV71" i="15"/>
  <c r="AV63" i="15"/>
  <c r="AV55" i="15"/>
  <c r="AV47" i="15"/>
  <c r="AV39" i="15"/>
  <c r="AV31" i="15"/>
  <c r="AV23" i="15"/>
  <c r="AV15" i="15"/>
  <c r="AV7" i="15"/>
  <c r="AV2" i="15"/>
  <c r="AV86" i="15"/>
  <c r="AV78" i="15"/>
  <c r="AV70" i="15"/>
  <c r="AV62" i="15"/>
  <c r="AV54" i="15"/>
  <c r="AV46" i="15"/>
  <c r="AV38" i="15"/>
  <c r="AV30" i="15"/>
  <c r="AV22" i="15"/>
  <c r="AV14" i="15"/>
  <c r="AV6" i="15"/>
  <c r="AV25" i="15"/>
  <c r="AV85" i="15"/>
  <c r="AV77" i="15"/>
  <c r="AV69" i="15"/>
  <c r="AV61" i="15"/>
  <c r="AV53" i="15"/>
  <c r="AV45" i="15"/>
  <c r="AV37" i="15"/>
  <c r="AV29" i="15"/>
  <c r="AV21" i="15"/>
  <c r="AV13" i="15"/>
  <c r="AV5" i="15"/>
  <c r="AV92" i="15"/>
  <c r="AV84" i="15"/>
  <c r="AV76" i="15"/>
  <c r="AV68" i="15"/>
  <c r="AV60" i="15"/>
  <c r="AV52" i="15"/>
  <c r="AV44" i="15"/>
  <c r="AV36" i="15"/>
  <c r="AV28" i="15"/>
  <c r="AV20" i="15"/>
  <c r="AV12" i="15"/>
  <c r="AV4" i="15"/>
  <c r="AV83" i="15"/>
  <c r="AV75" i="15"/>
  <c r="AV67" i="15"/>
  <c r="AV59" i="15"/>
  <c r="AV51" i="15"/>
  <c r="AV43" i="15"/>
  <c r="AV35" i="15"/>
  <c r="AV27" i="15"/>
  <c r="AV19" i="15"/>
  <c r="AV11" i="15"/>
  <c r="AV3" i="15"/>
  <c r="AV81" i="15"/>
  <c r="AV65" i="15"/>
  <c r="AV41" i="15"/>
  <c r="AV17" i="15"/>
  <c r="AV89" i="15"/>
  <c r="AV57" i="15"/>
  <c r="AV33" i="15"/>
  <c r="AV9" i="15"/>
  <c r="AV93" i="15"/>
  <c r="AV73" i="15"/>
  <c r="AV49" i="15"/>
  <c r="D41" i="15"/>
  <c r="D69" i="15" s="1"/>
  <c r="Q56" i="15"/>
  <c r="D30" i="15"/>
  <c r="D57" i="15" s="1"/>
  <c r="D26" i="15"/>
  <c r="F25" i="15"/>
  <c r="F26" i="15"/>
  <c r="W11" i="17" l="1"/>
  <c r="D47" i="17"/>
  <c r="W12" i="17"/>
  <c r="V12" i="17"/>
  <c r="V11" i="17"/>
  <c r="R12" i="17"/>
  <c r="S12" i="17" s="1"/>
  <c r="T12" i="17" s="1"/>
  <c r="Q13" i="17"/>
  <c r="V13" i="17" s="1"/>
  <c r="X12" i="17"/>
  <c r="U12" i="17"/>
  <c r="D78" i="16"/>
  <c r="D80" i="16" s="1"/>
  <c r="D56" i="16"/>
  <c r="D58" i="16" s="1"/>
  <c r="D42" i="16"/>
  <c r="D47" i="16" s="1"/>
  <c r="D70" i="16"/>
  <c r="Q12" i="16" s="1"/>
  <c r="D77" i="16"/>
  <c r="D79" i="16" s="1"/>
  <c r="E20" i="15"/>
  <c r="E19" i="15"/>
  <c r="E18" i="15"/>
  <c r="E17" i="15"/>
  <c r="E16" i="15"/>
  <c r="E15" i="15"/>
  <c r="E14" i="15"/>
  <c r="E13" i="15"/>
  <c r="N4" i="15"/>
  <c r="O4" i="15"/>
  <c r="N5" i="15"/>
  <c r="O5" i="15"/>
  <c r="N6" i="15"/>
  <c r="O6" i="15"/>
  <c r="N7" i="15"/>
  <c r="O7" i="15"/>
  <c r="N8" i="15"/>
  <c r="O8" i="15"/>
  <c r="N9" i="15"/>
  <c r="O9" i="15"/>
  <c r="N10" i="15"/>
  <c r="O10" i="15"/>
  <c r="N11" i="15"/>
  <c r="O11" i="15"/>
  <c r="N12" i="15"/>
  <c r="O12" i="15"/>
  <c r="N13" i="15"/>
  <c r="O13" i="15"/>
  <c r="N14" i="15"/>
  <c r="O14" i="15"/>
  <c r="N15" i="15"/>
  <c r="O15" i="15"/>
  <c r="N16" i="15"/>
  <c r="O16" i="15"/>
  <c r="N17" i="15"/>
  <c r="O17" i="15"/>
  <c r="N18" i="15"/>
  <c r="O18" i="15"/>
  <c r="N19" i="15"/>
  <c r="O19" i="15"/>
  <c r="N20" i="15"/>
  <c r="O20" i="15"/>
  <c r="N21" i="15"/>
  <c r="O21" i="15"/>
  <c r="N22" i="15"/>
  <c r="O22" i="15"/>
  <c r="N23" i="15"/>
  <c r="O23" i="15"/>
  <c r="N24" i="15"/>
  <c r="O24" i="15"/>
  <c r="N25" i="15"/>
  <c r="O25" i="15"/>
  <c r="N26" i="15"/>
  <c r="O26" i="15"/>
  <c r="N27" i="15"/>
  <c r="O27" i="15"/>
  <c r="N28" i="15"/>
  <c r="O28" i="15"/>
  <c r="N29" i="15"/>
  <c r="O29" i="15"/>
  <c r="N30" i="15"/>
  <c r="O30" i="15"/>
  <c r="N31" i="15"/>
  <c r="O31" i="15"/>
  <c r="N32" i="15"/>
  <c r="O32" i="15"/>
  <c r="N33" i="15"/>
  <c r="O33" i="15"/>
  <c r="N34" i="15"/>
  <c r="O34" i="15"/>
  <c r="N35" i="15"/>
  <c r="O35" i="15"/>
  <c r="N36" i="15"/>
  <c r="O36" i="15"/>
  <c r="N37" i="15"/>
  <c r="O37" i="15"/>
  <c r="N38" i="15"/>
  <c r="O38" i="15"/>
  <c r="N39" i="15"/>
  <c r="O39" i="15"/>
  <c r="N40" i="15"/>
  <c r="O40" i="15"/>
  <c r="N41" i="15"/>
  <c r="O41" i="15"/>
  <c r="N42" i="15"/>
  <c r="O42" i="15"/>
  <c r="N43" i="15"/>
  <c r="O43" i="15"/>
  <c r="N44" i="15"/>
  <c r="O44" i="15"/>
  <c r="N45" i="15"/>
  <c r="O45" i="15"/>
  <c r="N46" i="15"/>
  <c r="O46" i="15"/>
  <c r="N47" i="15"/>
  <c r="O47" i="15"/>
  <c r="N48" i="15"/>
  <c r="O48" i="15"/>
  <c r="N49" i="15"/>
  <c r="O49" i="15"/>
  <c r="N50" i="15"/>
  <c r="O50" i="15"/>
  <c r="N51" i="15"/>
  <c r="O51" i="15"/>
  <c r="N52" i="15"/>
  <c r="O52" i="15"/>
  <c r="N53" i="15"/>
  <c r="O53" i="15"/>
  <c r="N54" i="15"/>
  <c r="O54" i="15"/>
  <c r="N55" i="15"/>
  <c r="O55" i="15"/>
  <c r="N56" i="15"/>
  <c r="O56" i="15"/>
  <c r="N57" i="15"/>
  <c r="O57" i="15"/>
  <c r="N58" i="15"/>
  <c r="O58" i="15"/>
  <c r="N59" i="15"/>
  <c r="O59" i="15"/>
  <c r="N60" i="15"/>
  <c r="O60" i="15"/>
  <c r="N61" i="15"/>
  <c r="O61" i="15"/>
  <c r="N62" i="15"/>
  <c r="O62" i="15"/>
  <c r="N63" i="15"/>
  <c r="O63" i="15"/>
  <c r="N64" i="15"/>
  <c r="O64" i="15"/>
  <c r="N65" i="15"/>
  <c r="O65" i="15"/>
  <c r="N66" i="15"/>
  <c r="O66" i="15"/>
  <c r="N67" i="15"/>
  <c r="O67" i="15"/>
  <c r="N68" i="15"/>
  <c r="O68" i="15"/>
  <c r="N69" i="15"/>
  <c r="O69" i="15"/>
  <c r="N70" i="15"/>
  <c r="O70" i="15"/>
  <c r="N71" i="15"/>
  <c r="O71" i="15"/>
  <c r="N72" i="15"/>
  <c r="O72" i="15"/>
  <c r="N73" i="15"/>
  <c r="O73" i="15"/>
  <c r="N74" i="15"/>
  <c r="O74" i="15"/>
  <c r="N75" i="15"/>
  <c r="O75" i="15"/>
  <c r="N76" i="15"/>
  <c r="O76" i="15"/>
  <c r="N77" i="15"/>
  <c r="O77" i="15"/>
  <c r="N78" i="15"/>
  <c r="O78" i="15"/>
  <c r="N79" i="15"/>
  <c r="O79" i="15"/>
  <c r="N80" i="15"/>
  <c r="O80" i="15"/>
  <c r="N81" i="15"/>
  <c r="O81" i="15"/>
  <c r="N82" i="15"/>
  <c r="O82" i="15"/>
  <c r="N83" i="15"/>
  <c r="O83" i="15"/>
  <c r="N84" i="15"/>
  <c r="O84" i="15"/>
  <c r="N85" i="15"/>
  <c r="O85" i="15"/>
  <c r="N86" i="15"/>
  <c r="O86" i="15"/>
  <c r="N87" i="15"/>
  <c r="O87" i="15"/>
  <c r="N88" i="15"/>
  <c r="O88" i="15"/>
  <c r="N89" i="15"/>
  <c r="O89" i="15"/>
  <c r="N90" i="15"/>
  <c r="O90" i="15"/>
  <c r="N91" i="15"/>
  <c r="O91" i="15"/>
  <c r="N92" i="15"/>
  <c r="O92" i="15"/>
  <c r="N93" i="15"/>
  <c r="O93" i="15"/>
  <c r="N94" i="15"/>
  <c r="O94" i="15"/>
  <c r="O3" i="15"/>
  <c r="N3" i="15"/>
  <c r="R11" i="15"/>
  <c r="S11" i="15" s="1"/>
  <c r="T11" i="15" s="1"/>
  <c r="D55" i="15"/>
  <c r="D54" i="15"/>
  <c r="D43" i="15"/>
  <c r="D42" i="15"/>
  <c r="D47" i="15" s="1"/>
  <c r="D32" i="15"/>
  <c r="D33" i="15"/>
  <c r="D31" i="15"/>
  <c r="D36" i="15"/>
  <c r="H94" i="15"/>
  <c r="I94" i="15" s="1"/>
  <c r="J94" i="15" s="1"/>
  <c r="K94" i="15" s="1"/>
  <c r="L94" i="15" s="1"/>
  <c r="H93" i="15"/>
  <c r="I93" i="15" s="1"/>
  <c r="J93" i="15" s="1"/>
  <c r="K93" i="15" s="1"/>
  <c r="L93" i="15" s="1"/>
  <c r="H92" i="15"/>
  <c r="I92" i="15" s="1"/>
  <c r="J92" i="15" s="1"/>
  <c r="K92" i="15" s="1"/>
  <c r="L92" i="15" s="1"/>
  <c r="H91" i="15"/>
  <c r="I91" i="15" s="1"/>
  <c r="J91" i="15" s="1"/>
  <c r="K91" i="15" s="1"/>
  <c r="L91" i="15" s="1"/>
  <c r="H90" i="15"/>
  <c r="I90" i="15" s="1"/>
  <c r="J90" i="15" s="1"/>
  <c r="K90" i="15" s="1"/>
  <c r="L90" i="15" s="1"/>
  <c r="H89" i="15"/>
  <c r="I89" i="15" s="1"/>
  <c r="J89" i="15" s="1"/>
  <c r="K89" i="15" s="1"/>
  <c r="L89" i="15" s="1"/>
  <c r="H88" i="15"/>
  <c r="I88" i="15" s="1"/>
  <c r="J88" i="15" s="1"/>
  <c r="K88" i="15" s="1"/>
  <c r="L88" i="15" s="1"/>
  <c r="H87" i="15"/>
  <c r="I87" i="15" s="1"/>
  <c r="J87" i="15" s="1"/>
  <c r="K87" i="15" s="1"/>
  <c r="L87" i="15" s="1"/>
  <c r="H86" i="15"/>
  <c r="I86" i="15" s="1"/>
  <c r="J86" i="15" s="1"/>
  <c r="K86" i="15" s="1"/>
  <c r="L86" i="15" s="1"/>
  <c r="H85" i="15"/>
  <c r="I85" i="15" s="1"/>
  <c r="J85" i="15" s="1"/>
  <c r="K85" i="15" s="1"/>
  <c r="L85" i="15" s="1"/>
  <c r="H84" i="15"/>
  <c r="I84" i="15" s="1"/>
  <c r="J84" i="15" s="1"/>
  <c r="K84" i="15" s="1"/>
  <c r="L84" i="15" s="1"/>
  <c r="H83" i="15"/>
  <c r="I83" i="15" s="1"/>
  <c r="J83" i="15" s="1"/>
  <c r="K83" i="15" s="1"/>
  <c r="L83" i="15" s="1"/>
  <c r="H82" i="15"/>
  <c r="I82" i="15" s="1"/>
  <c r="J82" i="15" s="1"/>
  <c r="K82" i="15" s="1"/>
  <c r="L82" i="15" s="1"/>
  <c r="H81" i="15"/>
  <c r="I81" i="15" s="1"/>
  <c r="J81" i="15" s="1"/>
  <c r="K81" i="15" s="1"/>
  <c r="L81" i="15" s="1"/>
  <c r="H80" i="15"/>
  <c r="I80" i="15" s="1"/>
  <c r="J80" i="15" s="1"/>
  <c r="K80" i="15" s="1"/>
  <c r="L80" i="15" s="1"/>
  <c r="H79" i="15"/>
  <c r="I79" i="15" s="1"/>
  <c r="J79" i="15" s="1"/>
  <c r="K79" i="15" s="1"/>
  <c r="L79" i="15" s="1"/>
  <c r="H78" i="15"/>
  <c r="I78" i="15" s="1"/>
  <c r="J78" i="15" s="1"/>
  <c r="K78" i="15" s="1"/>
  <c r="L78" i="15" s="1"/>
  <c r="H77" i="15"/>
  <c r="I77" i="15" s="1"/>
  <c r="J77" i="15" s="1"/>
  <c r="K77" i="15" s="1"/>
  <c r="L77" i="15" s="1"/>
  <c r="H76" i="15"/>
  <c r="I76" i="15" s="1"/>
  <c r="J76" i="15" s="1"/>
  <c r="K76" i="15" s="1"/>
  <c r="L76" i="15" s="1"/>
  <c r="H75" i="15"/>
  <c r="I75" i="15" s="1"/>
  <c r="J75" i="15" s="1"/>
  <c r="K75" i="15" s="1"/>
  <c r="L75" i="15" s="1"/>
  <c r="H74" i="15"/>
  <c r="I74" i="15" s="1"/>
  <c r="J74" i="15" s="1"/>
  <c r="K74" i="15" s="1"/>
  <c r="L74" i="15" s="1"/>
  <c r="H73" i="15"/>
  <c r="I73" i="15" s="1"/>
  <c r="J73" i="15" s="1"/>
  <c r="K73" i="15" s="1"/>
  <c r="L73" i="15" s="1"/>
  <c r="H72" i="15"/>
  <c r="I72" i="15" s="1"/>
  <c r="J72" i="15" s="1"/>
  <c r="K72" i="15" s="1"/>
  <c r="L72" i="15" s="1"/>
  <c r="H71" i="15"/>
  <c r="I71" i="15" s="1"/>
  <c r="J71" i="15" s="1"/>
  <c r="K71" i="15" s="1"/>
  <c r="L71" i="15" s="1"/>
  <c r="H70" i="15"/>
  <c r="I70" i="15" s="1"/>
  <c r="J70" i="15" s="1"/>
  <c r="K70" i="15" s="1"/>
  <c r="L70" i="15" s="1"/>
  <c r="H69" i="15"/>
  <c r="I69" i="15" s="1"/>
  <c r="J69" i="15" s="1"/>
  <c r="K69" i="15" s="1"/>
  <c r="L69" i="15" s="1"/>
  <c r="H68" i="15"/>
  <c r="I68" i="15" s="1"/>
  <c r="J68" i="15" s="1"/>
  <c r="K68" i="15" s="1"/>
  <c r="L68" i="15" s="1"/>
  <c r="H67" i="15"/>
  <c r="I67" i="15" s="1"/>
  <c r="J67" i="15" s="1"/>
  <c r="K67" i="15" s="1"/>
  <c r="L67" i="15" s="1"/>
  <c r="H66" i="15"/>
  <c r="I66" i="15" s="1"/>
  <c r="J66" i="15" s="1"/>
  <c r="K66" i="15" s="1"/>
  <c r="L66" i="15" s="1"/>
  <c r="H65" i="15"/>
  <c r="I65" i="15" s="1"/>
  <c r="J65" i="15" s="1"/>
  <c r="K65" i="15" s="1"/>
  <c r="L65" i="15" s="1"/>
  <c r="H64" i="15"/>
  <c r="I64" i="15" s="1"/>
  <c r="J64" i="15" s="1"/>
  <c r="K64" i="15" s="1"/>
  <c r="L64" i="15" s="1"/>
  <c r="H63" i="15"/>
  <c r="I63" i="15" s="1"/>
  <c r="J63" i="15" s="1"/>
  <c r="K63" i="15" s="1"/>
  <c r="L63" i="15" s="1"/>
  <c r="H62" i="15"/>
  <c r="I62" i="15" s="1"/>
  <c r="J62" i="15" s="1"/>
  <c r="K62" i="15" s="1"/>
  <c r="L62" i="15" s="1"/>
  <c r="H61" i="15"/>
  <c r="I61" i="15" s="1"/>
  <c r="J61" i="15" s="1"/>
  <c r="K61" i="15" s="1"/>
  <c r="L61" i="15" s="1"/>
  <c r="H60" i="15"/>
  <c r="I60" i="15" s="1"/>
  <c r="J60" i="15" s="1"/>
  <c r="K60" i="15" s="1"/>
  <c r="L60" i="15" s="1"/>
  <c r="H59" i="15"/>
  <c r="I59" i="15" s="1"/>
  <c r="J59" i="15" s="1"/>
  <c r="K59" i="15" s="1"/>
  <c r="L59" i="15" s="1"/>
  <c r="H58" i="15"/>
  <c r="I58" i="15" s="1"/>
  <c r="J58" i="15" s="1"/>
  <c r="K58" i="15" s="1"/>
  <c r="L58" i="15" s="1"/>
  <c r="H57" i="15"/>
  <c r="I57" i="15" s="1"/>
  <c r="J57" i="15" s="1"/>
  <c r="K57" i="15" s="1"/>
  <c r="L57" i="15" s="1"/>
  <c r="H56" i="15"/>
  <c r="I56" i="15" s="1"/>
  <c r="J56" i="15" s="1"/>
  <c r="K56" i="15" s="1"/>
  <c r="L56" i="15" s="1"/>
  <c r="H55" i="15"/>
  <c r="I55" i="15" s="1"/>
  <c r="J55" i="15" s="1"/>
  <c r="K55" i="15" s="1"/>
  <c r="L55" i="15" s="1"/>
  <c r="H54" i="15"/>
  <c r="I54" i="15" s="1"/>
  <c r="J54" i="15" s="1"/>
  <c r="K54" i="15" s="1"/>
  <c r="L54" i="15" s="1"/>
  <c r="H53" i="15"/>
  <c r="I53" i="15" s="1"/>
  <c r="J53" i="15" s="1"/>
  <c r="K53" i="15" s="1"/>
  <c r="L53" i="15" s="1"/>
  <c r="H52" i="15"/>
  <c r="I52" i="15" s="1"/>
  <c r="J52" i="15" s="1"/>
  <c r="K52" i="15" s="1"/>
  <c r="L52" i="15" s="1"/>
  <c r="H51" i="15"/>
  <c r="I51" i="15" s="1"/>
  <c r="J51" i="15" s="1"/>
  <c r="K51" i="15" s="1"/>
  <c r="L51" i="15" s="1"/>
  <c r="H50" i="15"/>
  <c r="I50" i="15" s="1"/>
  <c r="J50" i="15" s="1"/>
  <c r="K50" i="15" s="1"/>
  <c r="L50" i="15" s="1"/>
  <c r="H49" i="15"/>
  <c r="I49" i="15" s="1"/>
  <c r="J49" i="15" s="1"/>
  <c r="K49" i="15" s="1"/>
  <c r="L49" i="15" s="1"/>
  <c r="H48" i="15"/>
  <c r="I48" i="15" s="1"/>
  <c r="J48" i="15" s="1"/>
  <c r="K48" i="15" s="1"/>
  <c r="L48" i="15" s="1"/>
  <c r="H47" i="15"/>
  <c r="I47" i="15" s="1"/>
  <c r="J47" i="15" s="1"/>
  <c r="K47" i="15" s="1"/>
  <c r="L47" i="15" s="1"/>
  <c r="H46" i="15"/>
  <c r="I46" i="15" s="1"/>
  <c r="J46" i="15" s="1"/>
  <c r="K46" i="15" s="1"/>
  <c r="L46" i="15" s="1"/>
  <c r="H45" i="15"/>
  <c r="I45" i="15" s="1"/>
  <c r="J45" i="15" s="1"/>
  <c r="K45" i="15" s="1"/>
  <c r="L45" i="15" s="1"/>
  <c r="H44" i="15"/>
  <c r="I44" i="15" s="1"/>
  <c r="J44" i="15" s="1"/>
  <c r="K44" i="15" s="1"/>
  <c r="L44" i="15" s="1"/>
  <c r="H43" i="15"/>
  <c r="I43" i="15" s="1"/>
  <c r="J43" i="15" s="1"/>
  <c r="K43" i="15" s="1"/>
  <c r="L43" i="15" s="1"/>
  <c r="H42" i="15"/>
  <c r="I42" i="15" s="1"/>
  <c r="J42" i="15" s="1"/>
  <c r="K42" i="15" s="1"/>
  <c r="L42" i="15" s="1"/>
  <c r="H41" i="15"/>
  <c r="I41" i="15" s="1"/>
  <c r="J41" i="15" s="1"/>
  <c r="K41" i="15" s="1"/>
  <c r="L41" i="15" s="1"/>
  <c r="H40" i="15"/>
  <c r="I40" i="15" s="1"/>
  <c r="J40" i="15" s="1"/>
  <c r="K40" i="15" s="1"/>
  <c r="L40" i="15" s="1"/>
  <c r="H39" i="15"/>
  <c r="I39" i="15" s="1"/>
  <c r="J39" i="15" s="1"/>
  <c r="K39" i="15" s="1"/>
  <c r="L39" i="15" s="1"/>
  <c r="H38" i="15"/>
  <c r="I38" i="15" s="1"/>
  <c r="J38" i="15" s="1"/>
  <c r="K38" i="15" s="1"/>
  <c r="L38" i="15" s="1"/>
  <c r="H37" i="15"/>
  <c r="I37" i="15" s="1"/>
  <c r="J37" i="15" s="1"/>
  <c r="K37" i="15" s="1"/>
  <c r="L37" i="15" s="1"/>
  <c r="H36" i="15"/>
  <c r="I36" i="15" s="1"/>
  <c r="J36" i="15" s="1"/>
  <c r="K36" i="15" s="1"/>
  <c r="L36" i="15" s="1"/>
  <c r="E51" i="15"/>
  <c r="Q55" i="15"/>
  <c r="R55" i="15" s="1"/>
  <c r="S55" i="15" s="1"/>
  <c r="T55" i="15" s="1"/>
  <c r="H35" i="15"/>
  <c r="I35" i="15" s="1"/>
  <c r="J35" i="15" s="1"/>
  <c r="K35" i="15" s="1"/>
  <c r="L35" i="15" s="1"/>
  <c r="E50" i="15"/>
  <c r="Q54" i="15"/>
  <c r="R54" i="15" s="1"/>
  <c r="S54" i="15" s="1"/>
  <c r="T54" i="15" s="1"/>
  <c r="H34" i="15"/>
  <c r="I34" i="15" s="1"/>
  <c r="J34" i="15" s="1"/>
  <c r="K34" i="15" s="1"/>
  <c r="L34" i="15" s="1"/>
  <c r="T53" i="15"/>
  <c r="S53" i="15"/>
  <c r="R53" i="15"/>
  <c r="H33" i="15"/>
  <c r="I33" i="15" s="1"/>
  <c r="J33" i="15" s="1"/>
  <c r="K33" i="15" s="1"/>
  <c r="L33" i="15" s="1"/>
  <c r="H32" i="15"/>
  <c r="I32" i="15" s="1"/>
  <c r="J32" i="15" s="1"/>
  <c r="K32" i="15" s="1"/>
  <c r="L32" i="15" s="1"/>
  <c r="H31" i="15"/>
  <c r="I31" i="15" s="1"/>
  <c r="J31" i="15" s="1"/>
  <c r="K31" i="15" s="1"/>
  <c r="L31" i="15" s="1"/>
  <c r="H30" i="15"/>
  <c r="I30" i="15" s="1"/>
  <c r="J30" i="15" s="1"/>
  <c r="K30" i="15" s="1"/>
  <c r="L30" i="15" s="1"/>
  <c r="H29" i="15"/>
  <c r="I29" i="15" s="1"/>
  <c r="J29" i="15" s="1"/>
  <c r="K29" i="15" s="1"/>
  <c r="L29" i="15" s="1"/>
  <c r="H28" i="15"/>
  <c r="I28" i="15" s="1"/>
  <c r="J28" i="15" s="1"/>
  <c r="K28" i="15" s="1"/>
  <c r="L28" i="15" s="1"/>
  <c r="H27" i="15"/>
  <c r="I27" i="15" s="1"/>
  <c r="J27" i="15" s="1"/>
  <c r="K27" i="15" s="1"/>
  <c r="L27" i="15" s="1"/>
  <c r="E65" i="15"/>
  <c r="H26" i="15"/>
  <c r="I26" i="15" s="1"/>
  <c r="J26" i="15" s="1"/>
  <c r="K26" i="15" s="1"/>
  <c r="L26" i="15" s="1"/>
  <c r="E64" i="15"/>
  <c r="H25" i="15"/>
  <c r="I25" i="15" s="1"/>
  <c r="J25" i="15" s="1"/>
  <c r="K25" i="15" s="1"/>
  <c r="L25" i="15" s="1"/>
  <c r="E63" i="15"/>
  <c r="H24" i="15"/>
  <c r="I24" i="15" s="1"/>
  <c r="J24" i="15" s="1"/>
  <c r="K24" i="15" s="1"/>
  <c r="L24" i="15" s="1"/>
  <c r="E62" i="15"/>
  <c r="H23" i="15"/>
  <c r="I23" i="15" s="1"/>
  <c r="J23" i="15" s="1"/>
  <c r="K23" i="15" s="1"/>
  <c r="L23" i="15" s="1"/>
  <c r="E61" i="15"/>
  <c r="H22" i="15"/>
  <c r="I22" i="15" s="1"/>
  <c r="J22" i="15" s="1"/>
  <c r="K22" i="15" s="1"/>
  <c r="L22" i="15" s="1"/>
  <c r="H21" i="15"/>
  <c r="I21" i="15" s="1"/>
  <c r="J21" i="15" s="1"/>
  <c r="K21" i="15" s="1"/>
  <c r="L21" i="15" s="1"/>
  <c r="H20" i="15"/>
  <c r="I20" i="15" s="1"/>
  <c r="J20" i="15" s="1"/>
  <c r="K20" i="15" s="1"/>
  <c r="L20" i="15" s="1"/>
  <c r="H19" i="15"/>
  <c r="I19" i="15" s="1"/>
  <c r="J19" i="15" s="1"/>
  <c r="K19" i="15" s="1"/>
  <c r="L19" i="15" s="1"/>
  <c r="H18" i="15"/>
  <c r="I18" i="15" s="1"/>
  <c r="J18" i="15" s="1"/>
  <c r="K18" i="15" s="1"/>
  <c r="L18" i="15" s="1"/>
  <c r="D17" i="15"/>
  <c r="H17" i="15"/>
  <c r="I17" i="15" s="1"/>
  <c r="J17" i="15" s="1"/>
  <c r="K17" i="15" s="1"/>
  <c r="L17" i="15" s="1"/>
  <c r="D16" i="15"/>
  <c r="H16" i="15"/>
  <c r="I16" i="15" s="1"/>
  <c r="J16" i="15" s="1"/>
  <c r="K16" i="15" s="1"/>
  <c r="L16" i="15" s="1"/>
  <c r="D15" i="15"/>
  <c r="H15" i="15"/>
  <c r="I15" i="15" s="1"/>
  <c r="J15" i="15" s="1"/>
  <c r="K15" i="15" s="1"/>
  <c r="L15" i="15" s="1"/>
  <c r="D14" i="15"/>
  <c r="H14" i="15"/>
  <c r="I14" i="15" s="1"/>
  <c r="J14" i="15" s="1"/>
  <c r="K14" i="15" s="1"/>
  <c r="L14" i="15" s="1"/>
  <c r="D13" i="15"/>
  <c r="H13" i="15"/>
  <c r="I13" i="15" s="1"/>
  <c r="J13" i="15" s="1"/>
  <c r="K13" i="15" s="1"/>
  <c r="L13" i="15" s="1"/>
  <c r="H12" i="15"/>
  <c r="I12" i="15" s="1"/>
  <c r="J12" i="15" s="1"/>
  <c r="K12" i="15" s="1"/>
  <c r="L12" i="15" s="1"/>
  <c r="H11" i="15"/>
  <c r="I11" i="15" s="1"/>
  <c r="J11" i="15" s="1"/>
  <c r="K11" i="15" s="1"/>
  <c r="L11" i="15" s="1"/>
  <c r="H10" i="15"/>
  <c r="I10" i="15" s="1"/>
  <c r="J10" i="15" s="1"/>
  <c r="K10" i="15" s="1"/>
  <c r="L10" i="15" s="1"/>
  <c r="H9" i="15"/>
  <c r="I9" i="15" s="1"/>
  <c r="J9" i="15" s="1"/>
  <c r="K9" i="15" s="1"/>
  <c r="L9" i="15" s="1"/>
  <c r="H8" i="15"/>
  <c r="I8" i="15" s="1"/>
  <c r="J8" i="15" s="1"/>
  <c r="K8" i="15" s="1"/>
  <c r="L8" i="15" s="1"/>
  <c r="F8" i="15"/>
  <c r="H7" i="15"/>
  <c r="I7" i="15" s="1"/>
  <c r="J7" i="15" s="1"/>
  <c r="K7" i="15" s="1"/>
  <c r="L7" i="15" s="1"/>
  <c r="F7" i="15"/>
  <c r="H6" i="15"/>
  <c r="I6" i="15" s="1"/>
  <c r="J6" i="15" s="1"/>
  <c r="K6" i="15" s="1"/>
  <c r="L6" i="15" s="1"/>
  <c r="H5" i="15"/>
  <c r="I5" i="15" s="1"/>
  <c r="J5" i="15" s="1"/>
  <c r="K5" i="15" s="1"/>
  <c r="L5" i="15" s="1"/>
  <c r="H4" i="15"/>
  <c r="I4" i="15" s="1"/>
  <c r="J4" i="15" s="1"/>
  <c r="K4" i="15" s="1"/>
  <c r="L4" i="15" s="1"/>
  <c r="H3" i="15"/>
  <c r="I3" i="15" s="1"/>
  <c r="J3" i="15" s="1"/>
  <c r="K3" i="15" s="1"/>
  <c r="L3" i="15" s="1"/>
  <c r="F65" i="15"/>
  <c r="F50" i="15"/>
  <c r="F5" i="15"/>
  <c r="F64" i="15"/>
  <c r="F16" i="15"/>
  <c r="F20" i="15"/>
  <c r="F15" i="15"/>
  <c r="E76" i="15"/>
  <c r="E10" i="15"/>
  <c r="F19" i="15"/>
  <c r="E74" i="15"/>
  <c r="E73" i="15"/>
  <c r="F14" i="15"/>
  <c r="E9" i="15"/>
  <c r="F61" i="15"/>
  <c r="F17" i="15"/>
  <c r="F62" i="15"/>
  <c r="F13" i="15"/>
  <c r="F63" i="15"/>
  <c r="F51" i="15"/>
  <c r="F18" i="15"/>
  <c r="R13" i="17" l="1"/>
  <c r="S13" i="17" s="1"/>
  <c r="T13" i="17" s="1"/>
  <c r="Q14" i="17"/>
  <c r="U13" i="17"/>
  <c r="X13" i="17"/>
  <c r="W13" i="17"/>
  <c r="R12" i="16"/>
  <c r="S12" i="16" s="1"/>
  <c r="T12" i="16" s="1"/>
  <c r="X12" i="16"/>
  <c r="Q13" i="16"/>
  <c r="W13" i="16" s="1"/>
  <c r="U12" i="16"/>
  <c r="W11" i="16"/>
  <c r="V11" i="16"/>
  <c r="V12" i="16"/>
  <c r="W12" i="16"/>
  <c r="W11" i="15"/>
  <c r="D76" i="15"/>
  <c r="D75" i="15"/>
  <c r="V11" i="15"/>
  <c r="U11" i="15"/>
  <c r="R57" i="15"/>
  <c r="S57" i="15" s="1"/>
  <c r="T57" i="15" s="1"/>
  <c r="D56" i="15"/>
  <c r="D58" i="15" s="1"/>
  <c r="D73" i="15"/>
  <c r="D77" i="15" s="1"/>
  <c r="D79" i="15" s="1"/>
  <c r="D74" i="15"/>
  <c r="D35" i="15"/>
  <c r="F9" i="15"/>
  <c r="F10" i="15" s="1"/>
  <c r="D46" i="15"/>
  <c r="E5" i="15"/>
  <c r="R56" i="15"/>
  <c r="S56" i="15" s="1"/>
  <c r="T56" i="15" s="1"/>
  <c r="R14" i="17" l="1"/>
  <c r="S14" i="17" s="1"/>
  <c r="T14" i="17" s="1"/>
  <c r="Q15" i="17"/>
  <c r="X14" i="17"/>
  <c r="U14" i="17"/>
  <c r="W14" i="17"/>
  <c r="V14" i="17"/>
  <c r="V13" i="16"/>
  <c r="Q14" i="16"/>
  <c r="U13" i="16"/>
  <c r="X13" i="16"/>
  <c r="R13" i="16"/>
  <c r="S13" i="16" s="1"/>
  <c r="T13" i="16" s="1"/>
  <c r="D78" i="15"/>
  <c r="D80" i="15" s="1"/>
  <c r="D70" i="15"/>
  <c r="Q12" i="15" s="1"/>
  <c r="R15" i="17" l="1"/>
  <c r="S15" i="17" s="1"/>
  <c r="T15" i="17" s="1"/>
  <c r="Q16" i="17"/>
  <c r="U15" i="17"/>
  <c r="X15" i="17"/>
  <c r="W15" i="17"/>
  <c r="V15" i="17"/>
  <c r="X14" i="16"/>
  <c r="R14" i="16"/>
  <c r="S14" i="16" s="1"/>
  <c r="T14" i="16" s="1"/>
  <c r="Q15" i="16"/>
  <c r="U14" i="16"/>
  <c r="V14" i="16"/>
  <c r="W14" i="16"/>
  <c r="W12" i="15"/>
  <c r="X12" i="15"/>
  <c r="U12" i="15"/>
  <c r="V12" i="15"/>
  <c r="R12" i="15"/>
  <c r="S12" i="15" s="1"/>
  <c r="T12" i="15" s="1"/>
  <c r="Q13" i="15"/>
  <c r="R16" i="17" l="1"/>
  <c r="S16" i="17" s="1"/>
  <c r="T16" i="17" s="1"/>
  <c r="Q17" i="17"/>
  <c r="X16" i="17"/>
  <c r="U16" i="17"/>
  <c r="W16" i="17"/>
  <c r="V16" i="17"/>
  <c r="R15" i="16"/>
  <c r="S15" i="16" s="1"/>
  <c r="T15" i="16" s="1"/>
  <c r="X15" i="16"/>
  <c r="U15" i="16"/>
  <c r="Q16" i="16"/>
  <c r="V15" i="16"/>
  <c r="W15" i="16"/>
  <c r="W13" i="15"/>
  <c r="X13" i="15"/>
  <c r="V13" i="15"/>
  <c r="U13" i="15"/>
  <c r="Q14" i="15"/>
  <c r="R13" i="15"/>
  <c r="S13" i="15" s="1"/>
  <c r="T13" i="15" s="1"/>
  <c r="R17" i="17" l="1"/>
  <c r="S17" i="17" s="1"/>
  <c r="T17" i="17" s="1"/>
  <c r="Q18" i="17"/>
  <c r="X17" i="17"/>
  <c r="U17" i="17"/>
  <c r="W17" i="17"/>
  <c r="V17" i="17"/>
  <c r="Q17" i="16"/>
  <c r="X16" i="16"/>
  <c r="U16" i="16"/>
  <c r="R16" i="16"/>
  <c r="S16" i="16" s="1"/>
  <c r="T16" i="16" s="1"/>
  <c r="W16" i="16"/>
  <c r="V16" i="16"/>
  <c r="W14" i="15"/>
  <c r="X14" i="15"/>
  <c r="V14" i="15"/>
  <c r="U14" i="15"/>
  <c r="Q15" i="15"/>
  <c r="R14" i="15"/>
  <c r="S14" i="15" s="1"/>
  <c r="T14" i="15" s="1"/>
  <c r="R18" i="17" l="1"/>
  <c r="S18" i="17" s="1"/>
  <c r="T18" i="17" s="1"/>
  <c r="Q19" i="17"/>
  <c r="X18" i="17"/>
  <c r="U18" i="17"/>
  <c r="W18" i="17"/>
  <c r="V18" i="17"/>
  <c r="X17" i="16"/>
  <c r="Q18" i="16"/>
  <c r="R17" i="16"/>
  <c r="S17" i="16" s="1"/>
  <c r="T17" i="16" s="1"/>
  <c r="U17" i="16"/>
  <c r="V17" i="16"/>
  <c r="W17" i="16"/>
  <c r="W15" i="15"/>
  <c r="X15" i="15"/>
  <c r="V15" i="15"/>
  <c r="U15" i="15"/>
  <c r="Q16" i="15"/>
  <c r="R15" i="15"/>
  <c r="S15" i="15" s="1"/>
  <c r="T15" i="15" s="1"/>
  <c r="Q20" i="17" l="1"/>
  <c r="X19" i="17"/>
  <c r="R19" i="17"/>
  <c r="S19" i="17" s="1"/>
  <c r="T19" i="17" s="1"/>
  <c r="U19" i="17"/>
  <c r="V19" i="17"/>
  <c r="W19" i="17"/>
  <c r="R18" i="16"/>
  <c r="S18" i="16" s="1"/>
  <c r="T18" i="16" s="1"/>
  <c r="X18" i="16"/>
  <c r="Q19" i="16"/>
  <c r="U18" i="16"/>
  <c r="V18" i="16"/>
  <c r="W18" i="16"/>
  <c r="W16" i="15"/>
  <c r="X16" i="15"/>
  <c r="V16" i="15"/>
  <c r="U16" i="15"/>
  <c r="Q17" i="15"/>
  <c r="R16" i="15"/>
  <c r="S16" i="15" s="1"/>
  <c r="T16" i="15" s="1"/>
  <c r="R20" i="17" l="1"/>
  <c r="S20" i="17" s="1"/>
  <c r="T20" i="17" s="1"/>
  <c r="Q21" i="17"/>
  <c r="X20" i="17"/>
  <c r="U20" i="17"/>
  <c r="W20" i="17"/>
  <c r="V20" i="17"/>
  <c r="X19" i="16"/>
  <c r="Q20" i="16"/>
  <c r="Q21" i="16" s="1"/>
  <c r="U19" i="16"/>
  <c r="R19" i="16"/>
  <c r="S19" i="16" s="1"/>
  <c r="T19" i="16" s="1"/>
  <c r="W19" i="16"/>
  <c r="V19" i="16"/>
  <c r="W17" i="15"/>
  <c r="X17" i="15"/>
  <c r="U17" i="15"/>
  <c r="V17" i="15"/>
  <c r="Q18" i="15"/>
  <c r="R17" i="15"/>
  <c r="S17" i="15" s="1"/>
  <c r="T17" i="15" s="1"/>
  <c r="R21" i="17" l="1"/>
  <c r="S21" i="17" s="1"/>
  <c r="T21" i="17" s="1"/>
  <c r="Q22" i="17"/>
  <c r="X21" i="17"/>
  <c r="U21" i="17"/>
  <c r="V21" i="17"/>
  <c r="W21" i="17"/>
  <c r="Q22" i="16"/>
  <c r="R21" i="16"/>
  <c r="S21" i="16" s="1"/>
  <c r="T21" i="16" s="1"/>
  <c r="X21" i="16"/>
  <c r="U21" i="16"/>
  <c r="V21" i="16"/>
  <c r="W21" i="16"/>
  <c r="R20" i="16"/>
  <c r="S20" i="16" s="1"/>
  <c r="T20" i="16" s="1"/>
  <c r="X20" i="16"/>
  <c r="U20" i="16"/>
  <c r="W20" i="16"/>
  <c r="V20" i="16"/>
  <c r="W18" i="15"/>
  <c r="X18" i="15"/>
  <c r="U18" i="15"/>
  <c r="V18" i="15"/>
  <c r="Q19" i="15"/>
  <c r="R18" i="15"/>
  <c r="S18" i="15" s="1"/>
  <c r="T18" i="15" s="1"/>
  <c r="R22" i="17" l="1"/>
  <c r="S22" i="17" s="1"/>
  <c r="T22" i="17" s="1"/>
  <c r="Q23" i="17"/>
  <c r="X22" i="17"/>
  <c r="U22" i="17"/>
  <c r="V22" i="17"/>
  <c r="W22" i="17"/>
  <c r="Q23" i="16"/>
  <c r="U22" i="16"/>
  <c r="R22" i="16"/>
  <c r="S22" i="16" s="1"/>
  <c r="T22" i="16" s="1"/>
  <c r="X22" i="16"/>
  <c r="W22" i="16"/>
  <c r="V22" i="16"/>
  <c r="W19" i="15"/>
  <c r="X19" i="15"/>
  <c r="U19" i="15"/>
  <c r="V19" i="15"/>
  <c r="Q20" i="15"/>
  <c r="Q21" i="15" s="1"/>
  <c r="R19" i="15"/>
  <c r="S19" i="15" s="1"/>
  <c r="T19" i="15" s="1"/>
  <c r="Q24" i="17" l="1"/>
  <c r="R23" i="17"/>
  <c r="T23" i="17" s="1"/>
  <c r="X23" i="17"/>
  <c r="U23" i="17"/>
  <c r="V23" i="17"/>
  <c r="W23" i="17"/>
  <c r="Q22" i="15"/>
  <c r="X21" i="15"/>
  <c r="R21" i="15"/>
  <c r="S21" i="15" s="1"/>
  <c r="T21" i="15" s="1"/>
  <c r="U21" i="15"/>
  <c r="V21" i="15"/>
  <c r="W21" i="15"/>
  <c r="X23" i="16"/>
  <c r="U23" i="16"/>
  <c r="Q24" i="16"/>
  <c r="R23" i="16"/>
  <c r="S23" i="16" s="1"/>
  <c r="T23" i="16" s="1"/>
  <c r="V23" i="16"/>
  <c r="W23" i="16"/>
  <c r="W20" i="15"/>
  <c r="X20" i="15"/>
  <c r="U20" i="15"/>
  <c r="V20" i="15"/>
  <c r="R20" i="15"/>
  <c r="S20" i="15" s="1"/>
  <c r="T20" i="15" s="1"/>
  <c r="Q25" i="17" l="1"/>
  <c r="X24" i="17"/>
  <c r="U24" i="17"/>
  <c r="R24" i="17"/>
  <c r="S24" i="17" s="1"/>
  <c r="T24" i="17" s="1"/>
  <c r="W24" i="17"/>
  <c r="V24" i="17"/>
  <c r="Q23" i="15"/>
  <c r="X22" i="15"/>
  <c r="R22" i="15"/>
  <c r="S22" i="15" s="1"/>
  <c r="T22" i="15" s="1"/>
  <c r="U22" i="15"/>
  <c r="V22" i="15"/>
  <c r="W22" i="15"/>
  <c r="R24" i="16"/>
  <c r="S24" i="16" s="1"/>
  <c r="T24" i="16" s="1"/>
  <c r="V24" i="16"/>
  <c r="Q25" i="16"/>
  <c r="W24" i="16"/>
  <c r="U24" i="16"/>
  <c r="X24" i="16"/>
  <c r="R25" i="17" l="1"/>
  <c r="S25" i="17" s="1"/>
  <c r="T25" i="17" s="1"/>
  <c r="Q26" i="17"/>
  <c r="X25" i="17"/>
  <c r="U25" i="17"/>
  <c r="V25" i="17"/>
  <c r="W25" i="17"/>
  <c r="Q24" i="15"/>
  <c r="R23" i="15"/>
  <c r="S23" i="15" s="1"/>
  <c r="T23" i="15" s="1"/>
  <c r="X23" i="15"/>
  <c r="W23" i="15"/>
  <c r="U23" i="15"/>
  <c r="V23" i="15"/>
  <c r="V25" i="16"/>
  <c r="W25" i="16"/>
  <c r="R25" i="16"/>
  <c r="S25" i="16" s="1"/>
  <c r="T25" i="16" s="1"/>
  <c r="Q26" i="16"/>
  <c r="X25" i="16"/>
  <c r="U25" i="16"/>
  <c r="R26" i="17" l="1"/>
  <c r="S26" i="17" s="1"/>
  <c r="T26" i="17" s="1"/>
  <c r="X26" i="17"/>
  <c r="Q27" i="17"/>
  <c r="U26" i="17"/>
  <c r="V26" i="17"/>
  <c r="W26" i="17"/>
  <c r="Q25" i="15"/>
  <c r="X24" i="15"/>
  <c r="R24" i="15"/>
  <c r="S24" i="15" s="1"/>
  <c r="T24" i="15" s="1"/>
  <c r="V24" i="15"/>
  <c r="U24" i="15"/>
  <c r="W24" i="15"/>
  <c r="Q27" i="16"/>
  <c r="X26" i="16"/>
  <c r="R26" i="16"/>
  <c r="S26" i="16" s="1"/>
  <c r="T26" i="16" s="1"/>
  <c r="U26" i="16"/>
  <c r="V26" i="16"/>
  <c r="W26" i="16"/>
  <c r="Q28" i="17" l="1"/>
  <c r="X27" i="17"/>
  <c r="R27" i="17"/>
  <c r="S27" i="17" s="1"/>
  <c r="T27" i="17" s="1"/>
  <c r="U27" i="17"/>
  <c r="W27" i="17"/>
  <c r="V27" i="17"/>
  <c r="Q26" i="15"/>
  <c r="R25" i="15"/>
  <c r="S25" i="15" s="1"/>
  <c r="T25" i="15" s="1"/>
  <c r="X25" i="15"/>
  <c r="U25" i="15"/>
  <c r="W25" i="15"/>
  <c r="V25" i="15"/>
  <c r="Q28" i="16"/>
  <c r="R27" i="16"/>
  <c r="S27" i="16" s="1"/>
  <c r="T27" i="16" s="1"/>
  <c r="U27" i="16"/>
  <c r="X27" i="16"/>
  <c r="V27" i="16"/>
  <c r="W27" i="16"/>
  <c r="Q29" i="17" l="1"/>
  <c r="X28" i="17"/>
  <c r="U28" i="17"/>
  <c r="R28" i="17"/>
  <c r="S28" i="17" s="1"/>
  <c r="T28" i="17" s="1"/>
  <c r="W28" i="17"/>
  <c r="V28" i="17"/>
  <c r="Q27" i="15"/>
  <c r="X26" i="15"/>
  <c r="R26" i="15"/>
  <c r="S26" i="15" s="1"/>
  <c r="T26" i="15" s="1"/>
  <c r="U26" i="15"/>
  <c r="V26" i="15"/>
  <c r="W26" i="15"/>
  <c r="Q29" i="16"/>
  <c r="R28" i="16"/>
  <c r="S28" i="16" s="1"/>
  <c r="T28" i="16" s="1"/>
  <c r="W28" i="16"/>
  <c r="X28" i="16"/>
  <c r="U28" i="16"/>
  <c r="V28" i="16"/>
  <c r="R29" i="17" l="1"/>
  <c r="S29" i="17" s="1"/>
  <c r="T29" i="17" s="1"/>
  <c r="Q30" i="17"/>
  <c r="X29" i="17"/>
  <c r="U29" i="17"/>
  <c r="W29" i="17"/>
  <c r="V29" i="17"/>
  <c r="Q28" i="15"/>
  <c r="X27" i="15"/>
  <c r="R27" i="15"/>
  <c r="S27" i="15" s="1"/>
  <c r="T27" i="15" s="1"/>
  <c r="V27" i="15"/>
  <c r="W27" i="15"/>
  <c r="U27" i="15"/>
  <c r="R29" i="16"/>
  <c r="S29" i="16" s="1"/>
  <c r="T29" i="16" s="1"/>
  <c r="Q30" i="16"/>
  <c r="U29" i="16"/>
  <c r="W29" i="16"/>
  <c r="X29" i="16"/>
  <c r="V29" i="16"/>
  <c r="R30" i="17" l="1"/>
  <c r="S30" i="17" s="1"/>
  <c r="T30" i="17" s="1"/>
  <c r="Q31" i="17"/>
  <c r="X30" i="17"/>
  <c r="U30" i="17"/>
  <c r="W30" i="17"/>
  <c r="V30" i="17"/>
  <c r="Q29" i="15"/>
  <c r="X28" i="15"/>
  <c r="R28" i="15"/>
  <c r="S28" i="15" s="1"/>
  <c r="T28" i="15" s="1"/>
  <c r="W28" i="15"/>
  <c r="U28" i="15"/>
  <c r="V28" i="15"/>
  <c r="Q31" i="16"/>
  <c r="X30" i="16"/>
  <c r="R30" i="16"/>
  <c r="S30" i="16" s="1"/>
  <c r="T30" i="16" s="1"/>
  <c r="U30" i="16"/>
  <c r="W30" i="16"/>
  <c r="V30" i="16"/>
  <c r="R31" i="17" l="1"/>
  <c r="S31" i="17" s="1"/>
  <c r="T31" i="17" s="1"/>
  <c r="Q32" i="17"/>
  <c r="X31" i="17"/>
  <c r="U31" i="17"/>
  <c r="V31" i="17"/>
  <c r="W31" i="17"/>
  <c r="Q30" i="15"/>
  <c r="X29" i="15"/>
  <c r="R29" i="15"/>
  <c r="S29" i="15" s="1"/>
  <c r="T29" i="15" s="1"/>
  <c r="U29" i="15"/>
  <c r="W29" i="15"/>
  <c r="V29" i="15"/>
  <c r="Q32" i="16"/>
  <c r="X31" i="16"/>
  <c r="R31" i="16"/>
  <c r="S31" i="16" s="1"/>
  <c r="T31" i="16" s="1"/>
  <c r="U31" i="16"/>
  <c r="V31" i="16"/>
  <c r="W31" i="16"/>
  <c r="R32" i="17" l="1"/>
  <c r="S32" i="17" s="1"/>
  <c r="T32" i="17" s="1"/>
  <c r="Q33" i="17"/>
  <c r="X32" i="17"/>
  <c r="U32" i="17"/>
  <c r="W32" i="17"/>
  <c r="V32" i="17"/>
  <c r="Q31" i="15"/>
  <c r="R30" i="15"/>
  <c r="S30" i="15" s="1"/>
  <c r="T30" i="15" s="1"/>
  <c r="X30" i="15"/>
  <c r="W30" i="15"/>
  <c r="U30" i="15"/>
  <c r="V30" i="15"/>
  <c r="Q33" i="16"/>
  <c r="U32" i="16"/>
  <c r="V32" i="16"/>
  <c r="W32" i="16"/>
  <c r="X32" i="16"/>
  <c r="R32" i="16"/>
  <c r="S32" i="16" s="1"/>
  <c r="T32" i="16" s="1"/>
  <c r="Q34" i="17" l="1"/>
  <c r="R33" i="17"/>
  <c r="S33" i="17" s="1"/>
  <c r="T33" i="17" s="1"/>
  <c r="X33" i="17"/>
  <c r="U33" i="17"/>
  <c r="W33" i="17"/>
  <c r="V33" i="17"/>
  <c r="Q32" i="15"/>
  <c r="R31" i="15"/>
  <c r="S31" i="15" s="1"/>
  <c r="T31" i="15" s="1"/>
  <c r="X31" i="15"/>
  <c r="U31" i="15"/>
  <c r="W31" i="15"/>
  <c r="V31" i="15"/>
  <c r="Q34" i="16"/>
  <c r="U33" i="16"/>
  <c r="W33" i="16"/>
  <c r="V33" i="16"/>
  <c r="R33" i="16"/>
  <c r="S33" i="16" s="1"/>
  <c r="T33" i="16" s="1"/>
  <c r="X33" i="16"/>
  <c r="X34" i="17" l="1"/>
  <c r="Q35" i="17"/>
  <c r="R34" i="17"/>
  <c r="S34" i="17" s="1"/>
  <c r="T34" i="17" s="1"/>
  <c r="U34" i="17"/>
  <c r="W34" i="17"/>
  <c r="V34" i="17"/>
  <c r="Q33" i="15"/>
  <c r="X32" i="15"/>
  <c r="R32" i="15"/>
  <c r="S32" i="15" s="1"/>
  <c r="T32" i="15" s="1"/>
  <c r="W32" i="15"/>
  <c r="V32" i="15"/>
  <c r="U32" i="15"/>
  <c r="X34" i="16"/>
  <c r="U34" i="16"/>
  <c r="Q35" i="16"/>
  <c r="W34" i="16"/>
  <c r="V34" i="16"/>
  <c r="R34" i="16"/>
  <c r="S34" i="16" s="1"/>
  <c r="T34" i="16" s="1"/>
  <c r="R35" i="17" l="1"/>
  <c r="S35" i="17" s="1"/>
  <c r="T35" i="17" s="1"/>
  <c r="X35" i="17"/>
  <c r="Q36" i="17"/>
  <c r="U35" i="17"/>
  <c r="V35" i="17"/>
  <c r="W35" i="17"/>
  <c r="Q34" i="15"/>
  <c r="R33" i="15"/>
  <c r="S33" i="15" s="1"/>
  <c r="T33" i="15" s="1"/>
  <c r="X33" i="15"/>
  <c r="U33" i="15"/>
  <c r="W33" i="15"/>
  <c r="V33" i="15"/>
  <c r="U35" i="16"/>
  <c r="X35" i="16"/>
  <c r="V35" i="16"/>
  <c r="W35" i="16"/>
  <c r="R35" i="16"/>
  <c r="S35" i="16" s="1"/>
  <c r="T35" i="16" s="1"/>
  <c r="Q36" i="16"/>
  <c r="R36" i="17" l="1"/>
  <c r="S36" i="17" s="1"/>
  <c r="T36" i="17" s="1"/>
  <c r="Q37" i="17"/>
  <c r="X36" i="17"/>
  <c r="U36" i="17"/>
  <c r="W36" i="17"/>
  <c r="V36" i="17"/>
  <c r="Q35" i="15"/>
  <c r="X34" i="15"/>
  <c r="R34" i="15"/>
  <c r="S34" i="15" s="1"/>
  <c r="T34" i="15" s="1"/>
  <c r="W34" i="15"/>
  <c r="U34" i="15"/>
  <c r="V34" i="15"/>
  <c r="X36" i="16"/>
  <c r="U36" i="16"/>
  <c r="V36" i="16"/>
  <c r="W36" i="16"/>
  <c r="Q37" i="16"/>
  <c r="R36" i="16"/>
  <c r="S36" i="16" s="1"/>
  <c r="T36" i="16" s="1"/>
  <c r="Q38" i="17" l="1"/>
  <c r="R37" i="17"/>
  <c r="S37" i="17" s="1"/>
  <c r="T37" i="17" s="1"/>
  <c r="X37" i="17"/>
  <c r="U37" i="17"/>
  <c r="V37" i="17"/>
  <c r="W37" i="17"/>
  <c r="Q36" i="15"/>
  <c r="R35" i="15"/>
  <c r="S35" i="15" s="1"/>
  <c r="T35" i="15" s="1"/>
  <c r="X35" i="15"/>
  <c r="U35" i="15"/>
  <c r="W35" i="15"/>
  <c r="V35" i="15"/>
  <c r="R37" i="16"/>
  <c r="S37" i="16" s="1"/>
  <c r="T37" i="16" s="1"/>
  <c r="U37" i="16"/>
  <c r="V37" i="16"/>
  <c r="Q38" i="16"/>
  <c r="X37" i="16"/>
  <c r="W37" i="16"/>
  <c r="R38" i="17" l="1"/>
  <c r="S38" i="17" s="1"/>
  <c r="T38" i="17" s="1"/>
  <c r="Q39" i="17"/>
  <c r="X38" i="17"/>
  <c r="U38" i="17"/>
  <c r="W38" i="17"/>
  <c r="V38" i="17"/>
  <c r="Q37" i="15"/>
  <c r="X36" i="15"/>
  <c r="R36" i="15"/>
  <c r="S36" i="15" s="1"/>
  <c r="T36" i="15" s="1"/>
  <c r="V36" i="15"/>
  <c r="W36" i="15"/>
  <c r="U36" i="15"/>
  <c r="R38" i="16"/>
  <c r="S38" i="16" s="1"/>
  <c r="T38" i="16" s="1"/>
  <c r="U38" i="16"/>
  <c r="W38" i="16"/>
  <c r="V38" i="16"/>
  <c r="X38" i="16"/>
  <c r="Q39" i="16"/>
  <c r="X39" i="17" l="1"/>
  <c r="Q40" i="17"/>
  <c r="R39" i="17"/>
  <c r="S39" i="17" s="1"/>
  <c r="T39" i="17" s="1"/>
  <c r="U39" i="17"/>
  <c r="W39" i="17"/>
  <c r="V39" i="17"/>
  <c r="Q38" i="15"/>
  <c r="R37" i="15"/>
  <c r="S37" i="15" s="1"/>
  <c r="T37" i="15" s="1"/>
  <c r="X37" i="15"/>
  <c r="V37" i="15"/>
  <c r="U37" i="15"/>
  <c r="W37" i="15"/>
  <c r="X39" i="16"/>
  <c r="Q40" i="16"/>
  <c r="U39" i="16"/>
  <c r="V39" i="16"/>
  <c r="R39" i="16"/>
  <c r="S39" i="16" s="1"/>
  <c r="T39" i="16" s="1"/>
  <c r="W39" i="16"/>
  <c r="R40" i="17" l="1"/>
  <c r="S40" i="17" s="1"/>
  <c r="T40" i="17" s="1"/>
  <c r="Q41" i="17"/>
  <c r="X40" i="17"/>
  <c r="U40" i="17"/>
  <c r="V40" i="17"/>
  <c r="W40" i="17"/>
  <c r="Q39" i="15"/>
  <c r="X38" i="15"/>
  <c r="R38" i="15"/>
  <c r="S38" i="15" s="1"/>
  <c r="T38" i="15" s="1"/>
  <c r="V38" i="15"/>
  <c r="W38" i="15"/>
  <c r="U38" i="15"/>
  <c r="X40" i="16"/>
  <c r="U40" i="16"/>
  <c r="V40" i="16"/>
  <c r="R40" i="16"/>
  <c r="S40" i="16" s="1"/>
  <c r="T40" i="16" s="1"/>
  <c r="W40" i="16"/>
  <c r="Q41" i="16"/>
  <c r="R41" i="17" l="1"/>
  <c r="S41" i="17" s="1"/>
  <c r="T41" i="17" s="1"/>
  <c r="Q42" i="17"/>
  <c r="X41" i="17"/>
  <c r="U41" i="17"/>
  <c r="W41" i="17"/>
  <c r="V41" i="17"/>
  <c r="Q40" i="15"/>
  <c r="X39" i="15"/>
  <c r="R39" i="15"/>
  <c r="S39" i="15" s="1"/>
  <c r="T39" i="15" s="1"/>
  <c r="W39" i="15"/>
  <c r="V39" i="15"/>
  <c r="U39" i="15"/>
  <c r="X41" i="16"/>
  <c r="W41" i="16"/>
  <c r="Q42" i="16"/>
  <c r="U41" i="16"/>
  <c r="V41" i="16"/>
  <c r="R41" i="16"/>
  <c r="S41" i="16" s="1"/>
  <c r="T41" i="16" s="1"/>
  <c r="X42" i="17" l="1"/>
  <c r="R42" i="17"/>
  <c r="S42" i="17" s="1"/>
  <c r="T42" i="17" s="1"/>
  <c r="Q43" i="17"/>
  <c r="U42" i="17"/>
  <c r="V42" i="17"/>
  <c r="W42" i="17"/>
  <c r="Q41" i="15"/>
  <c r="X40" i="15"/>
  <c r="R40" i="15"/>
  <c r="S40" i="15" s="1"/>
  <c r="T40" i="15" s="1"/>
  <c r="U40" i="15"/>
  <c r="V40" i="15"/>
  <c r="W40" i="15"/>
  <c r="X42" i="16"/>
  <c r="W42" i="16"/>
  <c r="U42" i="16"/>
  <c r="V42" i="16"/>
  <c r="Q43" i="16"/>
  <c r="R42" i="16"/>
  <c r="S42" i="16" s="1"/>
  <c r="T42" i="16" s="1"/>
  <c r="R43" i="17" l="1"/>
  <c r="S43" i="17" s="1"/>
  <c r="T43" i="17" s="1"/>
  <c r="Q44" i="17"/>
  <c r="X43" i="17"/>
  <c r="U43" i="17"/>
  <c r="V43" i="17"/>
  <c r="W43" i="17"/>
  <c r="Q42" i="15"/>
  <c r="R41" i="15"/>
  <c r="S41" i="15" s="1"/>
  <c r="T41" i="15" s="1"/>
  <c r="X41" i="15"/>
  <c r="V41" i="15"/>
  <c r="W41" i="15"/>
  <c r="U41" i="15"/>
  <c r="U43" i="16"/>
  <c r="X43" i="16"/>
  <c r="V43" i="16"/>
  <c r="W43" i="16"/>
  <c r="Q44" i="16"/>
  <c r="R43" i="16"/>
  <c r="S43" i="16" s="1"/>
  <c r="T43" i="16" s="1"/>
  <c r="R44" i="17" l="1"/>
  <c r="S44" i="17" s="1"/>
  <c r="T44" i="17" s="1"/>
  <c r="X44" i="17"/>
  <c r="Q45" i="17"/>
  <c r="U44" i="17"/>
  <c r="V44" i="17"/>
  <c r="W44" i="17"/>
  <c r="Q43" i="15"/>
  <c r="R42" i="15"/>
  <c r="S42" i="15" s="1"/>
  <c r="T42" i="15" s="1"/>
  <c r="X42" i="15"/>
  <c r="W42" i="15"/>
  <c r="U42" i="15"/>
  <c r="V42" i="15"/>
  <c r="U44" i="16"/>
  <c r="V44" i="16"/>
  <c r="W44" i="16"/>
  <c r="Q45" i="16"/>
  <c r="X44" i="16"/>
  <c r="R44" i="16"/>
  <c r="S44" i="16" s="1"/>
  <c r="T44" i="16" s="1"/>
  <c r="R45" i="17" l="1"/>
  <c r="S45" i="17" s="1"/>
  <c r="T45" i="17" s="1"/>
  <c r="X45" i="17"/>
  <c r="Q46" i="17"/>
  <c r="U45" i="17"/>
  <c r="V45" i="17"/>
  <c r="W45" i="17"/>
  <c r="Q44" i="15"/>
  <c r="X43" i="15"/>
  <c r="R43" i="15"/>
  <c r="S43" i="15" s="1"/>
  <c r="T43" i="15" s="1"/>
  <c r="U43" i="15"/>
  <c r="W43" i="15"/>
  <c r="V43" i="15"/>
  <c r="U45" i="16"/>
  <c r="R45" i="16"/>
  <c r="S45" i="16" s="1"/>
  <c r="T45" i="16" s="1"/>
  <c r="X45" i="16"/>
  <c r="V45" i="16"/>
  <c r="W45" i="16"/>
  <c r="Q46" i="16"/>
  <c r="Q47" i="17" l="1"/>
  <c r="R46" i="17"/>
  <c r="S46" i="17" s="1"/>
  <c r="T46" i="17" s="1"/>
  <c r="X46" i="17"/>
  <c r="U46" i="17"/>
  <c r="V46" i="17"/>
  <c r="W46" i="17"/>
  <c r="Q45" i="15"/>
  <c r="X44" i="15"/>
  <c r="R44" i="15"/>
  <c r="S44" i="15" s="1"/>
  <c r="T44" i="15" s="1"/>
  <c r="V44" i="15"/>
  <c r="W44" i="15"/>
  <c r="U44" i="15"/>
  <c r="U46" i="16"/>
  <c r="X46" i="16"/>
  <c r="V46" i="16"/>
  <c r="R46" i="16"/>
  <c r="S46" i="16" s="1"/>
  <c r="T46" i="16" s="1"/>
  <c r="W46" i="16"/>
  <c r="Q47" i="16"/>
  <c r="Q48" i="17" l="1"/>
  <c r="X47" i="17"/>
  <c r="R47" i="17"/>
  <c r="S47" i="17" s="1"/>
  <c r="T47" i="17" s="1"/>
  <c r="U47" i="17"/>
  <c r="V47" i="17"/>
  <c r="W47" i="17"/>
  <c r="Q46" i="15"/>
  <c r="X45" i="15"/>
  <c r="R45" i="15"/>
  <c r="S45" i="15" s="1"/>
  <c r="T45" i="15" s="1"/>
  <c r="V45" i="15"/>
  <c r="W45" i="15"/>
  <c r="U45" i="15"/>
  <c r="U47" i="16"/>
  <c r="V47" i="16"/>
  <c r="Q48" i="16"/>
  <c r="X47" i="16"/>
  <c r="W47" i="16"/>
  <c r="R47" i="16"/>
  <c r="S47" i="16" s="1"/>
  <c r="T47" i="16" s="1"/>
  <c r="R48" i="17" l="1"/>
  <c r="S48" i="17" s="1"/>
  <c r="T48" i="17" s="1"/>
  <c r="Q49" i="17"/>
  <c r="X48" i="17"/>
  <c r="U48" i="17"/>
  <c r="V48" i="17"/>
  <c r="W48" i="17"/>
  <c r="Q47" i="15"/>
  <c r="X46" i="15"/>
  <c r="R46" i="15"/>
  <c r="S46" i="15" s="1"/>
  <c r="T46" i="15" s="1"/>
  <c r="V46" i="15"/>
  <c r="U46" i="15"/>
  <c r="W46" i="15"/>
  <c r="U48" i="16"/>
  <c r="V48" i="16"/>
  <c r="X48" i="16"/>
  <c r="W48" i="16"/>
  <c r="R48" i="16"/>
  <c r="S48" i="16" s="1"/>
  <c r="T48" i="16" s="1"/>
  <c r="Q49" i="16"/>
  <c r="R49" i="17" l="1"/>
  <c r="S49" i="17" s="1"/>
  <c r="T49" i="17" s="1"/>
  <c r="X49" i="17"/>
  <c r="Q50" i="17"/>
  <c r="U49" i="17"/>
  <c r="W49" i="17"/>
  <c r="V49" i="17"/>
  <c r="Q48" i="15"/>
  <c r="X47" i="15"/>
  <c r="R47" i="15"/>
  <c r="S47" i="15" s="1"/>
  <c r="T47" i="15" s="1"/>
  <c r="W47" i="15"/>
  <c r="V47" i="15"/>
  <c r="U47" i="15"/>
  <c r="X49" i="16"/>
  <c r="U49" i="16"/>
  <c r="W49" i="16"/>
  <c r="Q50" i="16"/>
  <c r="V49" i="16"/>
  <c r="R49" i="16"/>
  <c r="S49" i="16" s="1"/>
  <c r="T49" i="16" s="1"/>
  <c r="Q51" i="17" l="1"/>
  <c r="X50" i="17"/>
  <c r="R50" i="17"/>
  <c r="S50" i="17" s="1"/>
  <c r="T50" i="17" s="1"/>
  <c r="U50" i="17"/>
  <c r="W50" i="17"/>
  <c r="V50" i="17"/>
  <c r="Q49" i="15"/>
  <c r="X48" i="15"/>
  <c r="R48" i="15"/>
  <c r="S48" i="15" s="1"/>
  <c r="T48" i="15" s="1"/>
  <c r="U48" i="15"/>
  <c r="V48" i="15"/>
  <c r="W48" i="15"/>
  <c r="Q51" i="16"/>
  <c r="V50" i="16"/>
  <c r="U50" i="16"/>
  <c r="W50" i="16"/>
  <c r="R50" i="16"/>
  <c r="S50" i="16" s="1"/>
  <c r="T50" i="16" s="1"/>
  <c r="X50" i="16"/>
  <c r="X51" i="17" l="1"/>
  <c r="R51" i="17"/>
  <c r="S51" i="17" s="1"/>
  <c r="T51" i="17" s="1"/>
  <c r="U51" i="17"/>
  <c r="V51" i="17"/>
  <c r="W51" i="17"/>
  <c r="Q50" i="15"/>
  <c r="X49" i="15"/>
  <c r="R49" i="15"/>
  <c r="S49" i="15" s="1"/>
  <c r="T49" i="15" s="1"/>
  <c r="V49" i="15"/>
  <c r="W49" i="15"/>
  <c r="U49" i="15"/>
  <c r="X51" i="16"/>
  <c r="V51" i="16"/>
  <c r="W51" i="16"/>
  <c r="R51" i="16"/>
  <c r="S51" i="16" s="1"/>
  <c r="T51" i="16" s="1"/>
  <c r="U51" i="16"/>
  <c r="Q51" i="15" l="1"/>
  <c r="R50" i="15"/>
  <c r="S50" i="15" s="1"/>
  <c r="T50" i="15" s="1"/>
  <c r="X50" i="15"/>
  <c r="U50" i="15"/>
  <c r="W50" i="15"/>
  <c r="V50" i="15"/>
  <c r="R51" i="15" l="1"/>
  <c r="S51" i="15" s="1"/>
  <c r="T51" i="15" s="1"/>
  <c r="X51" i="15"/>
  <c r="U51" i="15"/>
  <c r="V51" i="15"/>
  <c r="W51" i="15"/>
</calcChain>
</file>

<file path=xl/sharedStrings.xml><?xml version="1.0" encoding="utf-8"?>
<sst xmlns="http://schemas.openxmlformats.org/spreadsheetml/2006/main" count="694" uniqueCount="135">
  <si>
    <t>Sex</t>
  </si>
  <si>
    <t>Height</t>
  </si>
  <si>
    <t>Weight</t>
  </si>
  <si>
    <t>PuBefore</t>
  </si>
  <si>
    <t>PuAfter</t>
  </si>
  <si>
    <t>Ran?</t>
  </si>
  <si>
    <t>Smokes?</t>
  </si>
  <si>
    <t>ActivityL</t>
  </si>
  <si>
    <t>yes</t>
  </si>
  <si>
    <t>no</t>
  </si>
  <si>
    <t>male</t>
  </si>
  <si>
    <t>female</t>
  </si>
  <si>
    <t>Pulse1</t>
  </si>
  <si>
    <t>Pulse2</t>
  </si>
  <si>
    <t>Activity</t>
  </si>
  <si>
    <t>Intercept</t>
  </si>
  <si>
    <t>Slope</t>
  </si>
  <si>
    <t>Logit</t>
  </si>
  <si>
    <t>Odds</t>
  </si>
  <si>
    <t>Prob Y=1</t>
  </si>
  <si>
    <t>Full</t>
  </si>
  <si>
    <t>Original</t>
  </si>
  <si>
    <t>Sum LnLk</t>
  </si>
  <si>
    <t>FORMULAS</t>
  </si>
  <si>
    <t>Ave</t>
  </si>
  <si>
    <t>Median</t>
  </si>
  <si>
    <t>Male</t>
  </si>
  <si>
    <t>Male-Pctg</t>
  </si>
  <si>
    <t>Male-StDev</t>
  </si>
  <si>
    <t>Difference</t>
  </si>
  <si>
    <t>-2*LnLK</t>
  </si>
  <si>
    <t>X</t>
  </si>
  <si>
    <t>Y</t>
  </si>
  <si>
    <t>B</t>
  </si>
  <si>
    <t>% difference in slope</t>
  </si>
  <si>
    <t>LR Xo</t>
  </si>
  <si>
    <t>Pctg Difference in centers</t>
  </si>
  <si>
    <t>Pctg difference in slopes</t>
  </si>
  <si>
    <t>#Bins</t>
  </si>
  <si>
    <t>pY Est</t>
  </si>
  <si>
    <t>p(Y=1)</t>
  </si>
  <si>
    <t>p(OK)</t>
  </si>
  <si>
    <t>Ln(pOK)</t>
  </si>
  <si>
    <t>LR Slope</t>
  </si>
  <si>
    <t>X1min</t>
  </si>
  <si>
    <t>X1c</t>
  </si>
  <si>
    <t>X1max</t>
  </si>
  <si>
    <t>% Difference in X1c vs Xo</t>
  </si>
  <si>
    <t>Qt-Average</t>
  </si>
  <si>
    <t>Qt-StdDev</t>
  </si>
  <si>
    <t>Qt_Kurtosis</t>
  </si>
  <si>
    <t>Qt-Max</t>
  </si>
  <si>
    <t>Qt-Min</t>
  </si>
  <si>
    <t>Q-Axis</t>
  </si>
  <si>
    <t>Slope Infer</t>
  </si>
  <si>
    <t>Mean Q</t>
  </si>
  <si>
    <t>Median Q</t>
  </si>
  <si>
    <t>Mean Q | 1</t>
  </si>
  <si>
    <t>Mean Q | 0</t>
  </si>
  <si>
    <t>Setup Horizontal Axis Spacing</t>
  </si>
  <si>
    <t>pY OLS1</t>
  </si>
  <si>
    <t>OLS1 Regression of Binary on Quantitative</t>
  </si>
  <si>
    <t>OLS2 Regression of Q on B</t>
  </si>
  <si>
    <t>pY OLS2</t>
  </si>
  <si>
    <t>OLS1 a</t>
  </si>
  <si>
    <t>OLS1 b</t>
  </si>
  <si>
    <t>Compare with Logistic Regression</t>
  </si>
  <si>
    <t>Double Check Slope Equivalence</t>
  </si>
  <si>
    <t>Slope Direct</t>
  </si>
  <si>
    <t>Comparison</t>
  </si>
  <si>
    <t>Est X1max</t>
  </si>
  <si>
    <t>Est X1min</t>
  </si>
  <si>
    <t>Cmp X1min</t>
  </si>
  <si>
    <t>Cmp X1max</t>
  </si>
  <si>
    <t>Estimating X1min and X1max</t>
  </si>
  <si>
    <t>D</t>
  </si>
  <si>
    <t>E</t>
  </si>
  <si>
    <t>F</t>
  </si>
  <si>
    <t>G</t>
  </si>
  <si>
    <t>SD Binary</t>
  </si>
  <si>
    <t>SD Qntttv</t>
  </si>
  <si>
    <t>Qnttv</t>
  </si>
  <si>
    <t>P1Male</t>
  </si>
  <si>
    <t>P2Male</t>
  </si>
  <si>
    <t>pY Empiric</t>
  </si>
  <si>
    <t>CDF-Adj</t>
  </si>
  <si>
    <t>Deg Freedom</t>
  </si>
  <si>
    <t>X2c</t>
  </si>
  <si>
    <t>Quantitative Variable</t>
  </si>
  <si>
    <t>BINARY VARIABLE</t>
  </si>
  <si>
    <t>QUANTITATIVE VARIABLE</t>
  </si>
  <si>
    <t>WideExact</t>
  </si>
  <si>
    <t>WideIntegr</t>
  </si>
  <si>
    <t>Qty|1</t>
  </si>
  <si>
    <t>Qty|0</t>
  </si>
  <si>
    <t>Mean Q|1</t>
  </si>
  <si>
    <t>Mean Q|0</t>
  </si>
  <si>
    <t>AveGrp1</t>
  </si>
  <si>
    <t>AveGrp0</t>
  </si>
  <si>
    <t>Enter paired data in Columns A and B with Binary in Col B.</t>
  </si>
  <si>
    <t>Use Solver with D2 and E2. Copy SumLnLk to E7</t>
  </si>
  <si>
    <t>Adjust X axis for all charts.  Change content as needed</t>
  </si>
  <si>
    <t xml:space="preserve">Copy Col A and B to AS and AT. Sort on AS. </t>
  </si>
  <si>
    <t>Set intercept(D2)=1, slope(E2)= 0. Copy SumLnLk to E5</t>
  </si>
  <si>
    <t>Use Solver with just D2.  Copy SumLnLk to E6</t>
  </si>
  <si>
    <t>A</t>
  </si>
  <si>
    <t>C</t>
  </si>
  <si>
    <t>H</t>
  </si>
  <si>
    <t>I</t>
  </si>
  <si>
    <t>J</t>
  </si>
  <si>
    <t>K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</si>
  <si>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</si>
  <si>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</si>
  <si>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</si>
  <si>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</si>
  <si>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</si>
  <si>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</si>
  <si>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</si>
  <si>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</si>
  <si>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</si>
  <si>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</si>
  <si>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L</t>
  </si>
  <si>
    <t>#1</t>
  </si>
  <si>
    <t>#2</t>
  </si>
  <si>
    <t>#3</t>
  </si>
  <si>
    <t>#4</t>
  </si>
  <si>
    <t>#5</t>
  </si>
  <si>
    <t>#6</t>
  </si>
  <si>
    <t>#7</t>
  </si>
  <si>
    <t>row</t>
  </si>
  <si>
    <t>Insstructions</t>
  </si>
  <si>
    <t>Instructions</t>
  </si>
  <si>
    <t>Enter Xmin in Q11. Adjust #bins in A68 as needed.</t>
  </si>
  <si>
    <t>Schield</t>
  </si>
  <si>
    <t>MLE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</si>
</sst>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0000"/>
    <numFmt numFmtId="166" formatCode="0.0000"/>
    <numFmt numFmtId="167" formatCode="0.0"/>
    <numFmt numFmtId="168" formatCode="0.0000000"/>
    <numFmt numFmtId="169" formatCode="0.00000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right"/>
    </xf>
    <xf numFmtId="2" fontId="0" fillId="0" borderId="0" xfId="0" quotePrefix="1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quotePrefix="1" applyFont="1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4" fontId="0" fillId="0" borderId="0" xfId="0" applyNumberFormat="1"/>
    <xf numFmtId="2" fontId="0" fillId="0" borderId="0" xfId="0" applyNumberFormat="1" applyBorder="1" applyAlignment="1">
      <alignment horizontal="left"/>
    </xf>
    <xf numFmtId="0" fontId="2" fillId="0" borderId="0" xfId="0" applyFont="1" applyAlignment="1">
      <alignment horizontal="right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1" fillId="0" borderId="0" xfId="0" applyFont="1" applyAlignment="1">
      <alignment horizontal="right"/>
    </xf>
    <xf numFmtId="164" fontId="0" fillId="0" borderId="0" xfId="0" applyNumberFormat="1"/>
    <xf numFmtId="0" fontId="2" fillId="0" borderId="0" xfId="0" applyFont="1"/>
    <xf numFmtId="2" fontId="0" fillId="0" borderId="0" xfId="0" applyNumberFormat="1" applyAlignment="1">
      <alignment horizontal="right"/>
    </xf>
    <xf numFmtId="166" fontId="0" fillId="0" borderId="1" xfId="0" applyNumberFormat="1" applyBorder="1" applyAlignment="1">
      <alignment horizontal="center"/>
    </xf>
    <xf numFmtId="10" fontId="0" fillId="0" borderId="0" xfId="0" applyNumberFormat="1"/>
    <xf numFmtId="0" fontId="1" fillId="0" borderId="0" xfId="0" applyFont="1" applyFill="1" applyBorder="1"/>
    <xf numFmtId="0" fontId="0" fillId="2" borderId="0" xfId="0" applyFill="1"/>
    <xf numFmtId="166" fontId="0" fillId="0" borderId="0" xfId="0" applyNumberFormat="1"/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2" fontId="0" fillId="2" borderId="0" xfId="0" applyNumberFormat="1" applyFill="1" applyAlignment="1">
      <alignment horizontal="center"/>
    </xf>
    <xf numFmtId="167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Border="1"/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66" fontId="2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2" fontId="2" fillId="0" borderId="0" xfId="0" quotePrefix="1" applyNumberFormat="1" applyFont="1"/>
    <xf numFmtId="168" fontId="2" fillId="0" borderId="0" xfId="0" applyNumberFormat="1" applyFont="1"/>
    <xf numFmtId="0" fontId="1" fillId="2" borderId="0" xfId="0" applyFont="1" applyFill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Fill="1" applyBorder="1"/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2" fillId="0" borderId="0" xfId="0" applyNumberFormat="1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0" xfId="0" applyFont="1" applyFill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/>
    <xf numFmtId="16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Gender by Height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79073002310043"/>
          <c:y val="0.18348388743073782"/>
          <c:w val="0.81087498447552098"/>
          <c:h val="0.596693642461359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'1Male|Ht'!$B$2</c:f>
              <c:strCache>
                <c:ptCount val="1"/>
                <c:pt idx="0">
                  <c:v>Male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7592228054825623E-3"/>
                  <c:y val="0.1174420384951881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 baseline="0">
                        <a:solidFill>
                          <a:schemeClr val="tx1"/>
                        </a:solidFill>
                      </a:rPr>
                      <a:t>y = 0.0953x - 5.9282</a:t>
                    </a:r>
                    <a:br>
                      <a:rPr lang="en-US" sz="1100" b="1" baseline="0">
                        <a:solidFill>
                          <a:schemeClr val="tx1"/>
                        </a:solidFill>
                      </a:rPr>
                    </a:br>
                    <a:r>
                      <a:rPr lang="en-US" sz="1100" b="1" baseline="0">
                        <a:solidFill>
                          <a:schemeClr val="tx1"/>
                        </a:solidFill>
                      </a:rPr>
                      <a:t>R² = 0.5102</a:t>
                    </a:r>
                    <a:endParaRPr lang="en-US" sz="1100" b="1">
                      <a:solidFill>
                        <a:schemeClr val="tx1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'1Male|Ht'!$A$3:$A$94</c:f>
              <c:numCache>
                <c:formatCode>General</c:formatCode>
                <c:ptCount val="92"/>
                <c:pt idx="0">
                  <c:v>68</c:v>
                </c:pt>
                <c:pt idx="1">
                  <c:v>69</c:v>
                </c:pt>
                <c:pt idx="2">
                  <c:v>69</c:v>
                </c:pt>
                <c:pt idx="3">
                  <c:v>72</c:v>
                </c:pt>
                <c:pt idx="4">
                  <c:v>66</c:v>
                </c:pt>
                <c:pt idx="5">
                  <c:v>67</c:v>
                </c:pt>
                <c:pt idx="6">
                  <c:v>71</c:v>
                </c:pt>
                <c:pt idx="7">
                  <c:v>71</c:v>
                </c:pt>
                <c:pt idx="8">
                  <c:v>71.5</c:v>
                </c:pt>
                <c:pt idx="9">
                  <c:v>62</c:v>
                </c:pt>
                <c:pt idx="10">
                  <c:v>65.5</c:v>
                </c:pt>
                <c:pt idx="11">
                  <c:v>73.5</c:v>
                </c:pt>
                <c:pt idx="12">
                  <c:v>72</c:v>
                </c:pt>
                <c:pt idx="13">
                  <c:v>72</c:v>
                </c:pt>
                <c:pt idx="14">
                  <c:v>66</c:v>
                </c:pt>
                <c:pt idx="15">
                  <c:v>62.75</c:v>
                </c:pt>
                <c:pt idx="16">
                  <c:v>74</c:v>
                </c:pt>
                <c:pt idx="17">
                  <c:v>70</c:v>
                </c:pt>
                <c:pt idx="18">
                  <c:v>73</c:v>
                </c:pt>
                <c:pt idx="19">
                  <c:v>65</c:v>
                </c:pt>
                <c:pt idx="20">
                  <c:v>66</c:v>
                </c:pt>
                <c:pt idx="21">
                  <c:v>69</c:v>
                </c:pt>
                <c:pt idx="22">
                  <c:v>75</c:v>
                </c:pt>
                <c:pt idx="23">
                  <c:v>66</c:v>
                </c:pt>
                <c:pt idx="24">
                  <c:v>73</c:v>
                </c:pt>
                <c:pt idx="25">
                  <c:v>69</c:v>
                </c:pt>
                <c:pt idx="26">
                  <c:v>70</c:v>
                </c:pt>
                <c:pt idx="27">
                  <c:v>66</c:v>
                </c:pt>
                <c:pt idx="28">
                  <c:v>65</c:v>
                </c:pt>
                <c:pt idx="29">
                  <c:v>74</c:v>
                </c:pt>
                <c:pt idx="30">
                  <c:v>67</c:v>
                </c:pt>
                <c:pt idx="31">
                  <c:v>74</c:v>
                </c:pt>
                <c:pt idx="32">
                  <c:v>70</c:v>
                </c:pt>
                <c:pt idx="33">
                  <c:v>67</c:v>
                </c:pt>
                <c:pt idx="34">
                  <c:v>71</c:v>
                </c:pt>
                <c:pt idx="35">
                  <c:v>69.5</c:v>
                </c:pt>
                <c:pt idx="36">
                  <c:v>72</c:v>
                </c:pt>
                <c:pt idx="37">
                  <c:v>68</c:v>
                </c:pt>
                <c:pt idx="38">
                  <c:v>69</c:v>
                </c:pt>
                <c:pt idx="39">
                  <c:v>62</c:v>
                </c:pt>
                <c:pt idx="40">
                  <c:v>73</c:v>
                </c:pt>
                <c:pt idx="41">
                  <c:v>71</c:v>
                </c:pt>
                <c:pt idx="42">
                  <c:v>75</c:v>
                </c:pt>
                <c:pt idx="43">
                  <c:v>66</c:v>
                </c:pt>
                <c:pt idx="44">
                  <c:v>70</c:v>
                </c:pt>
                <c:pt idx="45">
                  <c:v>75</c:v>
                </c:pt>
                <c:pt idx="46">
                  <c:v>66</c:v>
                </c:pt>
                <c:pt idx="47">
                  <c:v>69</c:v>
                </c:pt>
                <c:pt idx="48">
                  <c:v>68</c:v>
                </c:pt>
                <c:pt idx="49">
                  <c:v>71</c:v>
                </c:pt>
                <c:pt idx="50">
                  <c:v>63</c:v>
                </c:pt>
                <c:pt idx="51">
                  <c:v>68</c:v>
                </c:pt>
                <c:pt idx="52">
                  <c:v>73</c:v>
                </c:pt>
                <c:pt idx="53">
                  <c:v>70</c:v>
                </c:pt>
                <c:pt idx="54">
                  <c:v>73</c:v>
                </c:pt>
                <c:pt idx="55">
                  <c:v>73</c:v>
                </c:pt>
                <c:pt idx="56">
                  <c:v>67</c:v>
                </c:pt>
                <c:pt idx="57">
                  <c:v>71</c:v>
                </c:pt>
                <c:pt idx="58">
                  <c:v>72</c:v>
                </c:pt>
                <c:pt idx="59">
                  <c:v>74</c:v>
                </c:pt>
                <c:pt idx="60">
                  <c:v>62</c:v>
                </c:pt>
                <c:pt idx="61">
                  <c:v>61.75</c:v>
                </c:pt>
                <c:pt idx="62">
                  <c:v>68</c:v>
                </c:pt>
                <c:pt idx="63">
                  <c:v>69</c:v>
                </c:pt>
                <c:pt idx="64">
                  <c:v>72</c:v>
                </c:pt>
                <c:pt idx="65">
                  <c:v>67</c:v>
                </c:pt>
                <c:pt idx="66">
                  <c:v>68</c:v>
                </c:pt>
                <c:pt idx="67">
                  <c:v>72</c:v>
                </c:pt>
                <c:pt idx="68">
                  <c:v>68</c:v>
                </c:pt>
                <c:pt idx="69">
                  <c:v>64</c:v>
                </c:pt>
                <c:pt idx="70">
                  <c:v>68</c:v>
                </c:pt>
                <c:pt idx="71">
                  <c:v>73</c:v>
                </c:pt>
                <c:pt idx="72">
                  <c:v>63</c:v>
                </c:pt>
                <c:pt idx="73">
                  <c:v>72</c:v>
                </c:pt>
                <c:pt idx="74">
                  <c:v>69</c:v>
                </c:pt>
                <c:pt idx="75">
                  <c:v>66</c:v>
                </c:pt>
                <c:pt idx="76">
                  <c:v>65</c:v>
                </c:pt>
                <c:pt idx="77">
                  <c:v>67</c:v>
                </c:pt>
                <c:pt idx="78">
                  <c:v>63</c:v>
                </c:pt>
                <c:pt idx="79">
                  <c:v>69</c:v>
                </c:pt>
                <c:pt idx="80">
                  <c:v>73.5</c:v>
                </c:pt>
                <c:pt idx="81">
                  <c:v>65</c:v>
                </c:pt>
                <c:pt idx="82">
                  <c:v>74</c:v>
                </c:pt>
                <c:pt idx="83">
                  <c:v>67</c:v>
                </c:pt>
                <c:pt idx="84">
                  <c:v>68</c:v>
                </c:pt>
                <c:pt idx="85">
                  <c:v>64</c:v>
                </c:pt>
                <c:pt idx="86">
                  <c:v>70</c:v>
                </c:pt>
                <c:pt idx="87">
                  <c:v>69</c:v>
                </c:pt>
                <c:pt idx="88">
                  <c:v>62</c:v>
                </c:pt>
                <c:pt idx="89">
                  <c:v>61</c:v>
                </c:pt>
                <c:pt idx="90">
                  <c:v>68</c:v>
                </c:pt>
                <c:pt idx="91">
                  <c:v>63</c:v>
                </c:pt>
              </c:numCache>
            </c:numRef>
          </c:xVal>
          <c:yVal>
            <c:numRef>
              <c:f>'1Male|Ht'!$B$3:$B$94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'1Male|Ht'!$T$10</c:f>
              <c:strCache>
                <c:ptCount val="1"/>
                <c:pt idx="0">
                  <c:v>Prob Y=1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'1Male|Ht'!$Q$11:$Q$51</c:f>
              <c:numCache>
                <c:formatCode>0</c:formatCode>
                <c:ptCount val="41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64</c:v>
                </c:pt>
                <c:pt idx="7">
                  <c:v>65</c:v>
                </c:pt>
                <c:pt idx="8">
                  <c:v>66</c:v>
                </c:pt>
                <c:pt idx="9">
                  <c:v>67</c:v>
                </c:pt>
                <c:pt idx="10">
                  <c:v>68</c:v>
                </c:pt>
                <c:pt idx="11">
                  <c:v>69</c:v>
                </c:pt>
                <c:pt idx="12">
                  <c:v>70</c:v>
                </c:pt>
                <c:pt idx="13">
                  <c:v>71</c:v>
                </c:pt>
                <c:pt idx="14">
                  <c:v>72</c:v>
                </c:pt>
                <c:pt idx="15">
                  <c:v>73</c:v>
                </c:pt>
                <c:pt idx="16">
                  <c:v>74</c:v>
                </c:pt>
                <c:pt idx="17">
                  <c:v>75</c:v>
                </c:pt>
                <c:pt idx="18">
                  <c:v>76</c:v>
                </c:pt>
                <c:pt idx="19">
                  <c:v>77</c:v>
                </c:pt>
                <c:pt idx="20">
                  <c:v>78</c:v>
                </c:pt>
                <c:pt idx="21">
                  <c:v>79</c:v>
                </c:pt>
                <c:pt idx="22">
                  <c:v>80</c:v>
                </c:pt>
                <c:pt idx="23">
                  <c:v>81</c:v>
                </c:pt>
                <c:pt idx="24">
                  <c:v>82</c:v>
                </c:pt>
                <c:pt idx="25">
                  <c:v>83</c:v>
                </c:pt>
                <c:pt idx="26">
                  <c:v>84</c:v>
                </c:pt>
                <c:pt idx="27">
                  <c:v>85</c:v>
                </c:pt>
                <c:pt idx="28">
                  <c:v>86</c:v>
                </c:pt>
                <c:pt idx="29">
                  <c:v>87</c:v>
                </c:pt>
                <c:pt idx="30">
                  <c:v>88</c:v>
                </c:pt>
                <c:pt idx="31">
                  <c:v>89</c:v>
                </c:pt>
                <c:pt idx="32">
                  <c:v>90</c:v>
                </c:pt>
                <c:pt idx="33">
                  <c:v>91</c:v>
                </c:pt>
                <c:pt idx="34">
                  <c:v>92</c:v>
                </c:pt>
                <c:pt idx="35">
                  <c:v>93</c:v>
                </c:pt>
                <c:pt idx="36">
                  <c:v>94</c:v>
                </c:pt>
                <c:pt idx="37">
                  <c:v>95</c:v>
                </c:pt>
                <c:pt idx="38">
                  <c:v>96</c:v>
                </c:pt>
                <c:pt idx="39">
                  <c:v>97</c:v>
                </c:pt>
                <c:pt idx="40">
                  <c:v>98</c:v>
                </c:pt>
              </c:numCache>
            </c:numRef>
          </c:xVal>
          <c:yVal>
            <c:numRef>
              <c:f>'1Male|Ht'!$T$11:$T$51</c:f>
              <c:numCache>
                <c:formatCode>0%</c:formatCode>
                <c:ptCount val="41"/>
                <c:pt idx="0">
                  <c:v>5.6805820634674153E-4</c:v>
                </c:pt>
                <c:pt idx="1">
                  <c:v>1.2514490152225656E-3</c:v>
                </c:pt>
                <c:pt idx="2">
                  <c:v>2.7547131167372885E-3</c:v>
                </c:pt>
                <c:pt idx="3">
                  <c:v>6.0527828364824966E-3</c:v>
                </c:pt>
                <c:pt idx="4">
                  <c:v>1.3247002266217625E-2</c:v>
                </c:pt>
                <c:pt idx="5">
                  <c:v>2.8744839066895806E-2</c:v>
                </c:pt>
                <c:pt idx="6">
                  <c:v>6.124838278950484E-2</c:v>
                </c:pt>
                <c:pt idx="7">
                  <c:v>0.1257472056045488</c:v>
                </c:pt>
                <c:pt idx="8">
                  <c:v>0.24074882332554237</c:v>
                </c:pt>
                <c:pt idx="9">
                  <c:v>0.41142902508819346</c:v>
                </c:pt>
                <c:pt idx="10">
                  <c:v>0.6064601048970143</c:v>
                </c:pt>
                <c:pt idx="11">
                  <c:v>0.77258649358567655</c:v>
                </c:pt>
                <c:pt idx="12">
                  <c:v>0.88220633626931599</c:v>
                </c:pt>
                <c:pt idx="13">
                  <c:v>0.94289207793413443</c:v>
                </c:pt>
                <c:pt idx="14">
                  <c:v>0.97326093138043035</c:v>
                </c:pt>
                <c:pt idx="15">
                  <c:v>0.98769105810414448</c:v>
                </c:pt>
                <c:pt idx="16">
                  <c:v>0.99437873522408593</c:v>
                </c:pt>
                <c:pt idx="17">
                  <c:v>0.99744228233884547</c:v>
                </c:pt>
                <c:pt idx="18">
                  <c:v>0.99883817003719455</c:v>
                </c:pt>
                <c:pt idx="19">
                  <c:v>0.99947264754805087</c:v>
                </c:pt>
                <c:pt idx="20">
                  <c:v>0.99976071871104433</c:v>
                </c:pt>
                <c:pt idx="21">
                  <c:v>0.99989144542349506</c:v>
                </c:pt>
                <c:pt idx="22">
                  <c:v>0.99995075563839542</c:v>
                </c:pt>
                <c:pt idx="23">
                  <c:v>0.99997766166439228</c:v>
                </c:pt>
                <c:pt idx="24">
                  <c:v>0.99998986698404724</c:v>
                </c:pt>
                <c:pt idx="25">
                  <c:v>0.99999540353724858</c:v>
                </c:pt>
                <c:pt idx="26">
                  <c:v>0.9999979149933238</c:v>
                </c:pt>
                <c:pt idx="27">
                  <c:v>0.99999905421905722</c:v>
                </c:pt>
                <c:pt idx="28">
                  <c:v>0.99999957098409076</c:v>
                </c:pt>
                <c:pt idx="29">
                  <c:v>0.99999980539405053</c:v>
                </c:pt>
                <c:pt idx="30">
                  <c:v>0.99999991172478708</c:v>
                </c:pt>
                <c:pt idx="31">
                  <c:v>0.99999995995747926</c:v>
                </c:pt>
                <c:pt idx="32">
                  <c:v>0.999999981836312</c:v>
                </c:pt>
                <c:pt idx="33">
                  <c:v>0.99999999176076948</c:v>
                </c:pt>
                <c:pt idx="34">
                  <c:v>0.99999999626260272</c:v>
                </c:pt>
                <c:pt idx="35">
                  <c:v>0.99999999830467923</c:v>
                </c:pt>
                <c:pt idx="36">
                  <c:v>0.99999999923098559</c:v>
                </c:pt>
                <c:pt idx="37">
                  <c:v>0.99999999965116737</c:v>
                </c:pt>
                <c:pt idx="38">
                  <c:v>0.99999999984176602</c:v>
                </c:pt>
                <c:pt idx="39">
                  <c:v>0.99999999992822353</c:v>
                </c:pt>
                <c:pt idx="40">
                  <c:v>0.99999999996744149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120072"/>
        <c:axId val="241116936"/>
      </c:scatterChart>
      <c:valAx>
        <c:axId val="241120072"/>
        <c:scaling>
          <c:orientation val="minMax"/>
          <c:max val="76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Height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(inches)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116936"/>
        <c:crosses val="autoZero"/>
        <c:crossBetween val="midCat"/>
      </c:valAx>
      <c:valAx>
        <c:axId val="2411169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Probability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(Male)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3.1325301204819279E-2"/>
              <c:y val="0.301468088339127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12007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Weight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'2Male|Wt'!$T$10</c:f>
              <c:strCache>
                <c:ptCount val="1"/>
                <c:pt idx="0">
                  <c:v>Prob Y=1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'2Male|Wt'!$Q$11:$Q$51</c:f>
              <c:numCache>
                <c:formatCode>0</c:formatCode>
                <c:ptCount val="41"/>
                <c:pt idx="0">
                  <c:v>94</c:v>
                </c:pt>
                <c:pt idx="1">
                  <c:v>96</c:v>
                </c:pt>
                <c:pt idx="2">
                  <c:v>98</c:v>
                </c:pt>
                <c:pt idx="3">
                  <c:v>100</c:v>
                </c:pt>
                <c:pt idx="4">
                  <c:v>102</c:v>
                </c:pt>
                <c:pt idx="5">
                  <c:v>104</c:v>
                </c:pt>
                <c:pt idx="6">
                  <c:v>106</c:v>
                </c:pt>
                <c:pt idx="7">
                  <c:v>108</c:v>
                </c:pt>
                <c:pt idx="8">
                  <c:v>110</c:v>
                </c:pt>
                <c:pt idx="9">
                  <c:v>112</c:v>
                </c:pt>
                <c:pt idx="10">
                  <c:v>114</c:v>
                </c:pt>
                <c:pt idx="11">
                  <c:v>116</c:v>
                </c:pt>
                <c:pt idx="12">
                  <c:v>118</c:v>
                </c:pt>
                <c:pt idx="13">
                  <c:v>120</c:v>
                </c:pt>
                <c:pt idx="14">
                  <c:v>122</c:v>
                </c:pt>
                <c:pt idx="15">
                  <c:v>124</c:v>
                </c:pt>
                <c:pt idx="16">
                  <c:v>126</c:v>
                </c:pt>
                <c:pt idx="17">
                  <c:v>128</c:v>
                </c:pt>
                <c:pt idx="18">
                  <c:v>130</c:v>
                </c:pt>
                <c:pt idx="19">
                  <c:v>132</c:v>
                </c:pt>
                <c:pt idx="20">
                  <c:v>134</c:v>
                </c:pt>
                <c:pt idx="21">
                  <c:v>136</c:v>
                </c:pt>
                <c:pt idx="22">
                  <c:v>138</c:v>
                </c:pt>
                <c:pt idx="23">
                  <c:v>140</c:v>
                </c:pt>
                <c:pt idx="24">
                  <c:v>142</c:v>
                </c:pt>
                <c:pt idx="25">
                  <c:v>144</c:v>
                </c:pt>
                <c:pt idx="26">
                  <c:v>146</c:v>
                </c:pt>
                <c:pt idx="27">
                  <c:v>148</c:v>
                </c:pt>
                <c:pt idx="28">
                  <c:v>150</c:v>
                </c:pt>
                <c:pt idx="29">
                  <c:v>152</c:v>
                </c:pt>
                <c:pt idx="30">
                  <c:v>154</c:v>
                </c:pt>
                <c:pt idx="31">
                  <c:v>156</c:v>
                </c:pt>
                <c:pt idx="32">
                  <c:v>158</c:v>
                </c:pt>
                <c:pt idx="33">
                  <c:v>160</c:v>
                </c:pt>
                <c:pt idx="34">
                  <c:v>162</c:v>
                </c:pt>
                <c:pt idx="35">
                  <c:v>164</c:v>
                </c:pt>
                <c:pt idx="36">
                  <c:v>166</c:v>
                </c:pt>
                <c:pt idx="37">
                  <c:v>168</c:v>
                </c:pt>
                <c:pt idx="38">
                  <c:v>170</c:v>
                </c:pt>
                <c:pt idx="39">
                  <c:v>172</c:v>
                </c:pt>
                <c:pt idx="40">
                  <c:v>174</c:v>
                </c:pt>
              </c:numCache>
            </c:numRef>
          </c:xVal>
          <c:yVal>
            <c:numRef>
              <c:f>'2Male|Wt'!$T$11:$T$51</c:f>
              <c:numCache>
                <c:formatCode>0%</c:formatCode>
                <c:ptCount val="41"/>
                <c:pt idx="0">
                  <c:v>1.2822209789156544E-3</c:v>
                </c:pt>
                <c:pt idx="1">
                  <c:v>1.756848463058535E-3</c:v>
                </c:pt>
                <c:pt idx="2">
                  <c:v>2.4067408873330201E-3</c:v>
                </c:pt>
                <c:pt idx="3">
                  <c:v>3.2962473239872268E-3</c:v>
                </c:pt>
                <c:pt idx="4">
                  <c:v>4.5130188566968096E-3</c:v>
                </c:pt>
                <c:pt idx="5">
                  <c:v>6.1761642693958551E-3</c:v>
                </c:pt>
                <c:pt idx="6">
                  <c:v>8.4470141789268188E-3</c:v>
                </c:pt>
                <c:pt idx="7">
                  <c:v>1.1543111623946762E-2</c:v>
                </c:pt>
                <c:pt idx="8">
                  <c:v>1.5755994055972229E-2</c:v>
                </c:pt>
                <c:pt idx="9">
                  <c:v>2.1473047684369858E-2</c:v>
                </c:pt>
                <c:pt idx="10">
                  <c:v>2.9202981720005343E-2</c:v>
                </c:pt>
                <c:pt idx="11">
                  <c:v>3.9602942059722861E-2</c:v>
                </c:pt>
                <c:pt idx="12">
                  <c:v>5.3502487348431382E-2</c:v>
                </c:pt>
                <c:pt idx="13">
                  <c:v>7.1915097019621857E-2</c:v>
                </c:pt>
                <c:pt idx="14">
                  <c:v>9.6021468934284038E-2</c:v>
                </c:pt>
                <c:pt idx="15">
                  <c:v>0.12710179811737154</c:v>
                </c:pt>
                <c:pt idx="16">
                  <c:v>0.16639052900040505</c:v>
                </c:pt>
                <c:pt idx="17">
                  <c:v>0.21483489305581913</c:v>
                </c:pt>
                <c:pt idx="18">
                  <c:v>0.27276857402269261</c:v>
                </c:pt>
                <c:pt idx="19">
                  <c:v>0.33956847162399084</c:v>
                </c:pt>
                <c:pt idx="20">
                  <c:v>0.41342736913169387</c:v>
                </c:pt>
                <c:pt idx="21">
                  <c:v>0.49139798518239636</c:v>
                </c:pt>
                <c:pt idx="22">
                  <c:v>0.56978934520163682</c:v>
                </c:pt>
                <c:pt idx="23">
                  <c:v>0.64483109122333993</c:v>
                </c:pt>
                <c:pt idx="24">
                  <c:v>0.7133679740569483</c:v>
                </c:pt>
                <c:pt idx="25">
                  <c:v>0.77332836447609432</c:v>
                </c:pt>
                <c:pt idx="26">
                  <c:v>0.82384302594322945</c:v>
                </c:pt>
                <c:pt idx="27">
                  <c:v>0.86506456107116803</c:v>
                </c:pt>
                <c:pt idx="28">
                  <c:v>0.89783626074536926</c:v>
                </c:pt>
                <c:pt idx="29">
                  <c:v>0.9233539165173098</c:v>
                </c:pt>
                <c:pt idx="30">
                  <c:v>0.94290329341114221</c:v>
                </c:pt>
                <c:pt idx="31">
                  <c:v>0.95769485449419023</c:v>
                </c:pt>
                <c:pt idx="32">
                  <c:v>0.96878136230253087</c:v>
                </c:pt>
                <c:pt idx="33">
                  <c:v>0.97703221110111449</c:v>
                </c:pt>
                <c:pt idx="34">
                  <c:v>0.98314037268941634</c:v>
                </c:pt>
                <c:pt idx="35">
                  <c:v>0.98764464337519398</c:v>
                </c:pt>
                <c:pt idx="36">
                  <c:v>0.9909566082520801</c:v>
                </c:pt>
                <c:pt idx="37">
                  <c:v>0.99338671578297288</c:v>
                </c:pt>
                <c:pt idx="38">
                  <c:v>0.99516699840342882</c:v>
                </c:pt>
                <c:pt idx="39">
                  <c:v>0.99646973571116193</c:v>
                </c:pt>
                <c:pt idx="40">
                  <c:v>0.99742222930072977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972888"/>
        <c:axId val="239974064"/>
      </c:scatterChart>
      <c:valAx>
        <c:axId val="239972888"/>
        <c:scaling>
          <c:orientation val="minMax"/>
          <c:max val="17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Weight (pounds)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974064"/>
        <c:crosses val="autoZero"/>
        <c:crossBetween val="midCat"/>
        <c:majorUnit val="10"/>
      </c:valAx>
      <c:valAx>
        <c:axId val="23997406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97288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Weight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'2Male|Wt'!$A$2</c:f>
              <c:strCache>
                <c:ptCount val="1"/>
                <c:pt idx="0">
                  <c:v>Weight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'2Male|Wt'!$A$3:$A$94</c:f>
              <c:numCache>
                <c:formatCode>General</c:formatCode>
                <c:ptCount val="92"/>
                <c:pt idx="0">
                  <c:v>150</c:v>
                </c:pt>
                <c:pt idx="1">
                  <c:v>145</c:v>
                </c:pt>
                <c:pt idx="2">
                  <c:v>160</c:v>
                </c:pt>
                <c:pt idx="3">
                  <c:v>145</c:v>
                </c:pt>
                <c:pt idx="4">
                  <c:v>135</c:v>
                </c:pt>
                <c:pt idx="5">
                  <c:v>125</c:v>
                </c:pt>
                <c:pt idx="6">
                  <c:v>170</c:v>
                </c:pt>
                <c:pt idx="7">
                  <c:v>155</c:v>
                </c:pt>
                <c:pt idx="8">
                  <c:v>164</c:v>
                </c:pt>
                <c:pt idx="9">
                  <c:v>120</c:v>
                </c:pt>
                <c:pt idx="10">
                  <c:v>120</c:v>
                </c:pt>
                <c:pt idx="11">
                  <c:v>160</c:v>
                </c:pt>
                <c:pt idx="12">
                  <c:v>195</c:v>
                </c:pt>
                <c:pt idx="13">
                  <c:v>175</c:v>
                </c:pt>
                <c:pt idx="14">
                  <c:v>120</c:v>
                </c:pt>
                <c:pt idx="15">
                  <c:v>112</c:v>
                </c:pt>
                <c:pt idx="16">
                  <c:v>190</c:v>
                </c:pt>
                <c:pt idx="17">
                  <c:v>155</c:v>
                </c:pt>
                <c:pt idx="18">
                  <c:v>155</c:v>
                </c:pt>
                <c:pt idx="19">
                  <c:v>122</c:v>
                </c:pt>
                <c:pt idx="20">
                  <c:v>140</c:v>
                </c:pt>
                <c:pt idx="21">
                  <c:v>155</c:v>
                </c:pt>
                <c:pt idx="22">
                  <c:v>160</c:v>
                </c:pt>
                <c:pt idx="23">
                  <c:v>130</c:v>
                </c:pt>
                <c:pt idx="24">
                  <c:v>190</c:v>
                </c:pt>
                <c:pt idx="25">
                  <c:v>175</c:v>
                </c:pt>
                <c:pt idx="26">
                  <c:v>130</c:v>
                </c:pt>
                <c:pt idx="27">
                  <c:v>125</c:v>
                </c:pt>
                <c:pt idx="28">
                  <c:v>115</c:v>
                </c:pt>
                <c:pt idx="29">
                  <c:v>190</c:v>
                </c:pt>
                <c:pt idx="30">
                  <c:v>145</c:v>
                </c:pt>
                <c:pt idx="31">
                  <c:v>180</c:v>
                </c:pt>
                <c:pt idx="32">
                  <c:v>125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142</c:v>
                </c:pt>
                <c:pt idx="37">
                  <c:v>155</c:v>
                </c:pt>
                <c:pt idx="38">
                  <c:v>150</c:v>
                </c:pt>
                <c:pt idx="39">
                  <c:v>110</c:v>
                </c:pt>
                <c:pt idx="40">
                  <c:v>170</c:v>
                </c:pt>
                <c:pt idx="41">
                  <c:v>170</c:v>
                </c:pt>
                <c:pt idx="42">
                  <c:v>185</c:v>
                </c:pt>
                <c:pt idx="43">
                  <c:v>130</c:v>
                </c:pt>
                <c:pt idx="44">
                  <c:v>150</c:v>
                </c:pt>
                <c:pt idx="45">
                  <c:v>190</c:v>
                </c:pt>
                <c:pt idx="46">
                  <c:v>135</c:v>
                </c:pt>
                <c:pt idx="47">
                  <c:v>170</c:v>
                </c:pt>
                <c:pt idx="48">
                  <c:v>155</c:v>
                </c:pt>
                <c:pt idx="49">
                  <c:v>140</c:v>
                </c:pt>
                <c:pt idx="50">
                  <c:v>118</c:v>
                </c:pt>
                <c:pt idx="51">
                  <c:v>110</c:v>
                </c:pt>
                <c:pt idx="52">
                  <c:v>165</c:v>
                </c:pt>
                <c:pt idx="53">
                  <c:v>157</c:v>
                </c:pt>
                <c:pt idx="54">
                  <c:v>155</c:v>
                </c:pt>
                <c:pt idx="55">
                  <c:v>155</c:v>
                </c:pt>
                <c:pt idx="56">
                  <c:v>123</c:v>
                </c:pt>
                <c:pt idx="57">
                  <c:v>138</c:v>
                </c:pt>
                <c:pt idx="58">
                  <c:v>215</c:v>
                </c:pt>
                <c:pt idx="59">
                  <c:v>148</c:v>
                </c:pt>
                <c:pt idx="60">
                  <c:v>108</c:v>
                </c:pt>
                <c:pt idx="61">
                  <c:v>108</c:v>
                </c:pt>
                <c:pt idx="62">
                  <c:v>130</c:v>
                </c:pt>
                <c:pt idx="63">
                  <c:v>145</c:v>
                </c:pt>
                <c:pt idx="64">
                  <c:v>180</c:v>
                </c:pt>
                <c:pt idx="65">
                  <c:v>115</c:v>
                </c:pt>
                <c:pt idx="66">
                  <c:v>133</c:v>
                </c:pt>
                <c:pt idx="67">
                  <c:v>155</c:v>
                </c:pt>
                <c:pt idx="68">
                  <c:v>125</c:v>
                </c:pt>
                <c:pt idx="69">
                  <c:v>102</c:v>
                </c:pt>
                <c:pt idx="70">
                  <c:v>138</c:v>
                </c:pt>
                <c:pt idx="71">
                  <c:v>180</c:v>
                </c:pt>
                <c:pt idx="72">
                  <c:v>116</c:v>
                </c:pt>
                <c:pt idx="73">
                  <c:v>150</c:v>
                </c:pt>
                <c:pt idx="74">
                  <c:v>136</c:v>
                </c:pt>
                <c:pt idx="75">
                  <c:v>130</c:v>
                </c:pt>
                <c:pt idx="76">
                  <c:v>118</c:v>
                </c:pt>
                <c:pt idx="77">
                  <c:v>150</c:v>
                </c:pt>
                <c:pt idx="78">
                  <c:v>95</c:v>
                </c:pt>
                <c:pt idx="79">
                  <c:v>150</c:v>
                </c:pt>
                <c:pt idx="80">
                  <c:v>155</c:v>
                </c:pt>
                <c:pt idx="81">
                  <c:v>135</c:v>
                </c:pt>
                <c:pt idx="82">
                  <c:v>160</c:v>
                </c:pt>
                <c:pt idx="83">
                  <c:v>140</c:v>
                </c:pt>
                <c:pt idx="84">
                  <c:v>145</c:v>
                </c:pt>
                <c:pt idx="85">
                  <c:v>125</c:v>
                </c:pt>
                <c:pt idx="86">
                  <c:v>153</c:v>
                </c:pt>
                <c:pt idx="87">
                  <c:v>150</c:v>
                </c:pt>
                <c:pt idx="88">
                  <c:v>131</c:v>
                </c:pt>
                <c:pt idx="89">
                  <c:v>140</c:v>
                </c:pt>
                <c:pt idx="90">
                  <c:v>116</c:v>
                </c:pt>
                <c:pt idx="91">
                  <c:v>121</c:v>
                </c:pt>
              </c:numCache>
            </c:numRef>
          </c:xVal>
          <c:yVal>
            <c:numRef>
              <c:f>'2Male|Wt'!$B$3:$B$94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'2Male|Wt'!$V$10</c:f>
              <c:strCache>
                <c:ptCount val="1"/>
                <c:pt idx="0">
                  <c:v>pY OLS2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'2Male|Wt'!$Q$11:$Q$51</c:f>
              <c:numCache>
                <c:formatCode>0</c:formatCode>
                <c:ptCount val="41"/>
                <c:pt idx="0">
                  <c:v>94</c:v>
                </c:pt>
                <c:pt idx="1">
                  <c:v>96</c:v>
                </c:pt>
                <c:pt idx="2">
                  <c:v>98</c:v>
                </c:pt>
                <c:pt idx="3">
                  <c:v>100</c:v>
                </c:pt>
                <c:pt idx="4">
                  <c:v>102</c:v>
                </c:pt>
                <c:pt idx="5">
                  <c:v>104</c:v>
                </c:pt>
                <c:pt idx="6">
                  <c:v>106</c:v>
                </c:pt>
                <c:pt idx="7">
                  <c:v>108</c:v>
                </c:pt>
                <c:pt idx="8">
                  <c:v>110</c:v>
                </c:pt>
                <c:pt idx="9">
                  <c:v>112</c:v>
                </c:pt>
                <c:pt idx="10">
                  <c:v>114</c:v>
                </c:pt>
                <c:pt idx="11">
                  <c:v>116</c:v>
                </c:pt>
                <c:pt idx="12">
                  <c:v>118</c:v>
                </c:pt>
                <c:pt idx="13">
                  <c:v>120</c:v>
                </c:pt>
                <c:pt idx="14">
                  <c:v>122</c:v>
                </c:pt>
                <c:pt idx="15">
                  <c:v>124</c:v>
                </c:pt>
                <c:pt idx="16">
                  <c:v>126</c:v>
                </c:pt>
                <c:pt idx="17">
                  <c:v>128</c:v>
                </c:pt>
                <c:pt idx="18">
                  <c:v>130</c:v>
                </c:pt>
                <c:pt idx="19">
                  <c:v>132</c:v>
                </c:pt>
                <c:pt idx="20">
                  <c:v>134</c:v>
                </c:pt>
                <c:pt idx="21">
                  <c:v>136</c:v>
                </c:pt>
                <c:pt idx="22">
                  <c:v>138</c:v>
                </c:pt>
                <c:pt idx="23">
                  <c:v>140</c:v>
                </c:pt>
                <c:pt idx="24">
                  <c:v>142</c:v>
                </c:pt>
                <c:pt idx="25">
                  <c:v>144</c:v>
                </c:pt>
                <c:pt idx="26">
                  <c:v>146</c:v>
                </c:pt>
                <c:pt idx="27">
                  <c:v>148</c:v>
                </c:pt>
                <c:pt idx="28">
                  <c:v>150</c:v>
                </c:pt>
                <c:pt idx="29">
                  <c:v>152</c:v>
                </c:pt>
                <c:pt idx="30">
                  <c:v>154</c:v>
                </c:pt>
                <c:pt idx="31">
                  <c:v>156</c:v>
                </c:pt>
                <c:pt idx="32">
                  <c:v>158</c:v>
                </c:pt>
                <c:pt idx="33">
                  <c:v>160</c:v>
                </c:pt>
                <c:pt idx="34">
                  <c:v>162</c:v>
                </c:pt>
                <c:pt idx="35">
                  <c:v>164</c:v>
                </c:pt>
                <c:pt idx="36">
                  <c:v>166</c:v>
                </c:pt>
                <c:pt idx="37">
                  <c:v>168</c:v>
                </c:pt>
                <c:pt idx="38">
                  <c:v>170</c:v>
                </c:pt>
                <c:pt idx="39">
                  <c:v>172</c:v>
                </c:pt>
                <c:pt idx="40">
                  <c:v>174</c:v>
                </c:pt>
              </c:numCache>
            </c:numRef>
          </c:xVal>
          <c:yVal>
            <c:numRef>
              <c:f>'2Male|Wt'!$V$11:$V$51</c:f>
              <c:numCache>
                <c:formatCode>0.00</c:formatCode>
                <c:ptCount val="41"/>
                <c:pt idx="0">
                  <c:v>-0.86469150885766577</c:v>
                </c:pt>
                <c:pt idx="1">
                  <c:v>-0.80665852168601038</c:v>
                </c:pt>
                <c:pt idx="2">
                  <c:v>-0.74862553451435476</c:v>
                </c:pt>
                <c:pt idx="3">
                  <c:v>-0.69059254734269937</c:v>
                </c:pt>
                <c:pt idx="4">
                  <c:v>-0.63255956017104398</c:v>
                </c:pt>
                <c:pt idx="5">
                  <c:v>-0.57452657299938859</c:v>
                </c:pt>
                <c:pt idx="6">
                  <c:v>-0.51649358582773297</c:v>
                </c:pt>
                <c:pt idx="7">
                  <c:v>-0.45846059865607758</c:v>
                </c:pt>
                <c:pt idx="8">
                  <c:v>-0.40042761148442219</c:v>
                </c:pt>
                <c:pt idx="9">
                  <c:v>-0.34239462431276668</c:v>
                </c:pt>
                <c:pt idx="10">
                  <c:v>-0.28436163714111129</c:v>
                </c:pt>
                <c:pt idx="11">
                  <c:v>-0.22632864996945579</c:v>
                </c:pt>
                <c:pt idx="12">
                  <c:v>-0.16829566279780039</c:v>
                </c:pt>
                <c:pt idx="13">
                  <c:v>-0.11026267562614489</c:v>
                </c:pt>
                <c:pt idx="14">
                  <c:v>-5.2229688454489498E-2</c:v>
                </c:pt>
                <c:pt idx="15">
                  <c:v>5.8032987171660055E-3</c:v>
                </c:pt>
                <c:pt idx="16">
                  <c:v>6.3836285888821398E-2</c:v>
                </c:pt>
                <c:pt idx="17">
                  <c:v>0.1218692730604769</c:v>
                </c:pt>
                <c:pt idx="18">
                  <c:v>0.17990226023213235</c:v>
                </c:pt>
                <c:pt idx="19">
                  <c:v>0.2379352474037878</c:v>
                </c:pt>
                <c:pt idx="20">
                  <c:v>0.29596823457544325</c:v>
                </c:pt>
                <c:pt idx="21">
                  <c:v>0.35400122174709869</c:v>
                </c:pt>
                <c:pt idx="22">
                  <c:v>0.41203420891875409</c:v>
                </c:pt>
                <c:pt idx="23">
                  <c:v>0.47006719609040959</c:v>
                </c:pt>
                <c:pt idx="24">
                  <c:v>0.52810018326206498</c:v>
                </c:pt>
                <c:pt idx="25">
                  <c:v>0.58613317043372049</c:v>
                </c:pt>
                <c:pt idx="26">
                  <c:v>0.64416615760537588</c:v>
                </c:pt>
                <c:pt idx="27">
                  <c:v>0.70219914477703138</c:v>
                </c:pt>
                <c:pt idx="28">
                  <c:v>0.76023213194868677</c:v>
                </c:pt>
                <c:pt idx="29">
                  <c:v>0.81826511912034228</c:v>
                </c:pt>
                <c:pt idx="30">
                  <c:v>0.87629810629199767</c:v>
                </c:pt>
                <c:pt idx="31">
                  <c:v>0.93433109346365317</c:v>
                </c:pt>
                <c:pt idx="32">
                  <c:v>0.99236408063530868</c:v>
                </c:pt>
                <c:pt idx="33">
                  <c:v>1.0503970678069641</c:v>
                </c:pt>
                <c:pt idx="34">
                  <c:v>1.1084300549786195</c:v>
                </c:pt>
                <c:pt idx="35">
                  <c:v>1.1664630421502751</c:v>
                </c:pt>
                <c:pt idx="36">
                  <c:v>1.2244960293219305</c:v>
                </c:pt>
                <c:pt idx="37">
                  <c:v>1.2825290164935859</c:v>
                </c:pt>
                <c:pt idx="38">
                  <c:v>1.3405620036652413</c:v>
                </c:pt>
                <c:pt idx="39">
                  <c:v>1.3985949908368966</c:v>
                </c:pt>
                <c:pt idx="40">
                  <c:v>1.456627978008552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967008"/>
        <c:axId val="239969360"/>
      </c:scatterChart>
      <c:valAx>
        <c:axId val="239967008"/>
        <c:scaling>
          <c:orientation val="minMax"/>
          <c:max val="215"/>
          <c:min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Weight (pounds)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969360"/>
        <c:crosses val="autoZero"/>
        <c:crossBetween val="midCat"/>
        <c:majorUnit val="25"/>
      </c:valAx>
      <c:valAx>
        <c:axId val="239969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96700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Logistic: Gender by Weight: MLE vs OLS-Based</a:t>
            </a:r>
          </a:p>
        </c:rich>
      </c:tx>
      <c:layout>
        <c:manualLayout>
          <c:xMode val="edge"/>
          <c:yMode val="edge"/>
          <c:x val="0.20923153931438807"/>
          <c:y val="2.7491408934707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'2Male|Wt'!$A$2</c:f>
              <c:strCache>
                <c:ptCount val="1"/>
                <c:pt idx="0">
                  <c:v>Weight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'2Male|Wt'!$A$3:$A$94</c:f>
              <c:numCache>
                <c:formatCode>General</c:formatCode>
                <c:ptCount val="92"/>
                <c:pt idx="0">
                  <c:v>150</c:v>
                </c:pt>
                <c:pt idx="1">
                  <c:v>145</c:v>
                </c:pt>
                <c:pt idx="2">
                  <c:v>160</c:v>
                </c:pt>
                <c:pt idx="3">
                  <c:v>145</c:v>
                </c:pt>
                <c:pt idx="4">
                  <c:v>135</c:v>
                </c:pt>
                <c:pt idx="5">
                  <c:v>125</c:v>
                </c:pt>
                <c:pt idx="6">
                  <c:v>170</c:v>
                </c:pt>
                <c:pt idx="7">
                  <c:v>155</c:v>
                </c:pt>
                <c:pt idx="8">
                  <c:v>164</c:v>
                </c:pt>
                <c:pt idx="9">
                  <c:v>120</c:v>
                </c:pt>
                <c:pt idx="10">
                  <c:v>120</c:v>
                </c:pt>
                <c:pt idx="11">
                  <c:v>160</c:v>
                </c:pt>
                <c:pt idx="12">
                  <c:v>195</c:v>
                </c:pt>
                <c:pt idx="13">
                  <c:v>175</c:v>
                </c:pt>
                <c:pt idx="14">
                  <c:v>120</c:v>
                </c:pt>
                <c:pt idx="15">
                  <c:v>112</c:v>
                </c:pt>
                <c:pt idx="16">
                  <c:v>190</c:v>
                </c:pt>
                <c:pt idx="17">
                  <c:v>155</c:v>
                </c:pt>
                <c:pt idx="18">
                  <c:v>155</c:v>
                </c:pt>
                <c:pt idx="19">
                  <c:v>122</c:v>
                </c:pt>
                <c:pt idx="20">
                  <c:v>140</c:v>
                </c:pt>
                <c:pt idx="21">
                  <c:v>155</c:v>
                </c:pt>
                <c:pt idx="22">
                  <c:v>160</c:v>
                </c:pt>
                <c:pt idx="23">
                  <c:v>130</c:v>
                </c:pt>
                <c:pt idx="24">
                  <c:v>190</c:v>
                </c:pt>
                <c:pt idx="25">
                  <c:v>175</c:v>
                </c:pt>
                <c:pt idx="26">
                  <c:v>130</c:v>
                </c:pt>
                <c:pt idx="27">
                  <c:v>125</c:v>
                </c:pt>
                <c:pt idx="28">
                  <c:v>115</c:v>
                </c:pt>
                <c:pt idx="29">
                  <c:v>190</c:v>
                </c:pt>
                <c:pt idx="30">
                  <c:v>145</c:v>
                </c:pt>
                <c:pt idx="31">
                  <c:v>180</c:v>
                </c:pt>
                <c:pt idx="32">
                  <c:v>125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142</c:v>
                </c:pt>
                <c:pt idx="37">
                  <c:v>155</c:v>
                </c:pt>
                <c:pt idx="38">
                  <c:v>150</c:v>
                </c:pt>
                <c:pt idx="39">
                  <c:v>110</c:v>
                </c:pt>
                <c:pt idx="40">
                  <c:v>170</c:v>
                </c:pt>
                <c:pt idx="41">
                  <c:v>170</c:v>
                </c:pt>
                <c:pt idx="42">
                  <c:v>185</c:v>
                </c:pt>
                <c:pt idx="43">
                  <c:v>130</c:v>
                </c:pt>
                <c:pt idx="44">
                  <c:v>150</c:v>
                </c:pt>
                <c:pt idx="45">
                  <c:v>190</c:v>
                </c:pt>
                <c:pt idx="46">
                  <c:v>135</c:v>
                </c:pt>
                <c:pt idx="47">
                  <c:v>170</c:v>
                </c:pt>
                <c:pt idx="48">
                  <c:v>155</c:v>
                </c:pt>
                <c:pt idx="49">
                  <c:v>140</c:v>
                </c:pt>
                <c:pt idx="50">
                  <c:v>118</c:v>
                </c:pt>
                <c:pt idx="51">
                  <c:v>110</c:v>
                </c:pt>
                <c:pt idx="52">
                  <c:v>165</c:v>
                </c:pt>
                <c:pt idx="53">
                  <c:v>157</c:v>
                </c:pt>
                <c:pt idx="54">
                  <c:v>155</c:v>
                </c:pt>
                <c:pt idx="55">
                  <c:v>155</c:v>
                </c:pt>
                <c:pt idx="56">
                  <c:v>123</c:v>
                </c:pt>
                <c:pt idx="57">
                  <c:v>138</c:v>
                </c:pt>
                <c:pt idx="58">
                  <c:v>215</c:v>
                </c:pt>
                <c:pt idx="59">
                  <c:v>148</c:v>
                </c:pt>
                <c:pt idx="60">
                  <c:v>108</c:v>
                </c:pt>
                <c:pt idx="61">
                  <c:v>108</c:v>
                </c:pt>
                <c:pt idx="62">
                  <c:v>130</c:v>
                </c:pt>
                <c:pt idx="63">
                  <c:v>145</c:v>
                </c:pt>
                <c:pt idx="64">
                  <c:v>180</c:v>
                </c:pt>
                <c:pt idx="65">
                  <c:v>115</c:v>
                </c:pt>
                <c:pt idx="66">
                  <c:v>133</c:v>
                </c:pt>
                <c:pt idx="67">
                  <c:v>155</c:v>
                </c:pt>
                <c:pt idx="68">
                  <c:v>125</c:v>
                </c:pt>
                <c:pt idx="69">
                  <c:v>102</c:v>
                </c:pt>
                <c:pt idx="70">
                  <c:v>138</c:v>
                </c:pt>
                <c:pt idx="71">
                  <c:v>180</c:v>
                </c:pt>
                <c:pt idx="72">
                  <c:v>116</c:v>
                </c:pt>
                <c:pt idx="73">
                  <c:v>150</c:v>
                </c:pt>
                <c:pt idx="74">
                  <c:v>136</c:v>
                </c:pt>
                <c:pt idx="75">
                  <c:v>130</c:v>
                </c:pt>
                <c:pt idx="76">
                  <c:v>118</c:v>
                </c:pt>
                <c:pt idx="77">
                  <c:v>150</c:v>
                </c:pt>
                <c:pt idx="78">
                  <c:v>95</c:v>
                </c:pt>
                <c:pt idx="79">
                  <c:v>150</c:v>
                </c:pt>
                <c:pt idx="80">
                  <c:v>155</c:v>
                </c:pt>
                <c:pt idx="81">
                  <c:v>135</c:v>
                </c:pt>
                <c:pt idx="82">
                  <c:v>160</c:v>
                </c:pt>
                <c:pt idx="83">
                  <c:v>140</c:v>
                </c:pt>
                <c:pt idx="84">
                  <c:v>145</c:v>
                </c:pt>
                <c:pt idx="85">
                  <c:v>125</c:v>
                </c:pt>
                <c:pt idx="86">
                  <c:v>153</c:v>
                </c:pt>
                <c:pt idx="87">
                  <c:v>150</c:v>
                </c:pt>
                <c:pt idx="88">
                  <c:v>131</c:v>
                </c:pt>
                <c:pt idx="89">
                  <c:v>140</c:v>
                </c:pt>
                <c:pt idx="90">
                  <c:v>116</c:v>
                </c:pt>
                <c:pt idx="91">
                  <c:v>121</c:v>
                </c:pt>
              </c:numCache>
            </c:numRef>
          </c:xVal>
          <c:yVal>
            <c:numRef>
              <c:f>'2Male|Wt'!$B$3:$B$94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'2Male|Wt'!$Q$10</c:f>
              <c:strCache>
                <c:ptCount val="1"/>
                <c:pt idx="0">
                  <c:v>Q-Axis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'2Male|Wt'!$Q$11:$Q$51</c:f>
              <c:numCache>
                <c:formatCode>0</c:formatCode>
                <c:ptCount val="41"/>
                <c:pt idx="0">
                  <c:v>94</c:v>
                </c:pt>
                <c:pt idx="1">
                  <c:v>96</c:v>
                </c:pt>
                <c:pt idx="2">
                  <c:v>98</c:v>
                </c:pt>
                <c:pt idx="3">
                  <c:v>100</c:v>
                </c:pt>
                <c:pt idx="4">
                  <c:v>102</c:v>
                </c:pt>
                <c:pt idx="5">
                  <c:v>104</c:v>
                </c:pt>
                <c:pt idx="6">
                  <c:v>106</c:v>
                </c:pt>
                <c:pt idx="7">
                  <c:v>108</c:v>
                </c:pt>
                <c:pt idx="8">
                  <c:v>110</c:v>
                </c:pt>
                <c:pt idx="9">
                  <c:v>112</c:v>
                </c:pt>
                <c:pt idx="10">
                  <c:v>114</c:v>
                </c:pt>
                <c:pt idx="11">
                  <c:v>116</c:v>
                </c:pt>
                <c:pt idx="12">
                  <c:v>118</c:v>
                </c:pt>
                <c:pt idx="13">
                  <c:v>120</c:v>
                </c:pt>
                <c:pt idx="14">
                  <c:v>122</c:v>
                </c:pt>
                <c:pt idx="15">
                  <c:v>124</c:v>
                </c:pt>
                <c:pt idx="16">
                  <c:v>126</c:v>
                </c:pt>
                <c:pt idx="17">
                  <c:v>128</c:v>
                </c:pt>
                <c:pt idx="18">
                  <c:v>130</c:v>
                </c:pt>
                <c:pt idx="19">
                  <c:v>132</c:v>
                </c:pt>
                <c:pt idx="20">
                  <c:v>134</c:v>
                </c:pt>
                <c:pt idx="21">
                  <c:v>136</c:v>
                </c:pt>
                <c:pt idx="22">
                  <c:v>138</c:v>
                </c:pt>
                <c:pt idx="23">
                  <c:v>140</c:v>
                </c:pt>
                <c:pt idx="24">
                  <c:v>142</c:v>
                </c:pt>
                <c:pt idx="25">
                  <c:v>144</c:v>
                </c:pt>
                <c:pt idx="26">
                  <c:v>146</c:v>
                </c:pt>
                <c:pt idx="27">
                  <c:v>148</c:v>
                </c:pt>
                <c:pt idx="28">
                  <c:v>150</c:v>
                </c:pt>
                <c:pt idx="29">
                  <c:v>152</c:v>
                </c:pt>
                <c:pt idx="30">
                  <c:v>154</c:v>
                </c:pt>
                <c:pt idx="31">
                  <c:v>156</c:v>
                </c:pt>
                <c:pt idx="32">
                  <c:v>158</c:v>
                </c:pt>
                <c:pt idx="33">
                  <c:v>160</c:v>
                </c:pt>
                <c:pt idx="34">
                  <c:v>162</c:v>
                </c:pt>
                <c:pt idx="35">
                  <c:v>164</c:v>
                </c:pt>
                <c:pt idx="36">
                  <c:v>166</c:v>
                </c:pt>
                <c:pt idx="37">
                  <c:v>168</c:v>
                </c:pt>
                <c:pt idx="38">
                  <c:v>170</c:v>
                </c:pt>
                <c:pt idx="39">
                  <c:v>172</c:v>
                </c:pt>
                <c:pt idx="40">
                  <c:v>174</c:v>
                </c:pt>
              </c:numCache>
            </c:numRef>
          </c:xVal>
          <c:yVal>
            <c:numRef>
              <c:f>'2Male|Wt'!$T$11:$T$51</c:f>
              <c:numCache>
                <c:formatCode>0%</c:formatCode>
                <c:ptCount val="41"/>
                <c:pt idx="0">
                  <c:v>1.2822209789156544E-3</c:v>
                </c:pt>
                <c:pt idx="1">
                  <c:v>1.756848463058535E-3</c:v>
                </c:pt>
                <c:pt idx="2">
                  <c:v>2.4067408873330201E-3</c:v>
                </c:pt>
                <c:pt idx="3">
                  <c:v>3.2962473239872268E-3</c:v>
                </c:pt>
                <c:pt idx="4">
                  <c:v>4.5130188566968096E-3</c:v>
                </c:pt>
                <c:pt idx="5">
                  <c:v>6.1761642693958551E-3</c:v>
                </c:pt>
                <c:pt idx="6">
                  <c:v>8.4470141789268188E-3</c:v>
                </c:pt>
                <c:pt idx="7">
                  <c:v>1.1543111623946762E-2</c:v>
                </c:pt>
                <c:pt idx="8">
                  <c:v>1.5755994055972229E-2</c:v>
                </c:pt>
                <c:pt idx="9">
                  <c:v>2.1473047684369858E-2</c:v>
                </c:pt>
                <c:pt idx="10">
                  <c:v>2.9202981720005343E-2</c:v>
                </c:pt>
                <c:pt idx="11">
                  <c:v>3.9602942059722861E-2</c:v>
                </c:pt>
                <c:pt idx="12">
                  <c:v>5.3502487348431382E-2</c:v>
                </c:pt>
                <c:pt idx="13">
                  <c:v>7.1915097019621857E-2</c:v>
                </c:pt>
                <c:pt idx="14">
                  <c:v>9.6021468934284038E-2</c:v>
                </c:pt>
                <c:pt idx="15">
                  <c:v>0.12710179811737154</c:v>
                </c:pt>
                <c:pt idx="16">
                  <c:v>0.16639052900040505</c:v>
                </c:pt>
                <c:pt idx="17">
                  <c:v>0.21483489305581913</c:v>
                </c:pt>
                <c:pt idx="18">
                  <c:v>0.27276857402269261</c:v>
                </c:pt>
                <c:pt idx="19">
                  <c:v>0.33956847162399084</c:v>
                </c:pt>
                <c:pt idx="20">
                  <c:v>0.41342736913169387</c:v>
                </c:pt>
                <c:pt idx="21">
                  <c:v>0.49139798518239636</c:v>
                </c:pt>
                <c:pt idx="22">
                  <c:v>0.56978934520163682</c:v>
                </c:pt>
                <c:pt idx="23">
                  <c:v>0.64483109122333993</c:v>
                </c:pt>
                <c:pt idx="24">
                  <c:v>0.7133679740569483</c:v>
                </c:pt>
                <c:pt idx="25">
                  <c:v>0.77332836447609432</c:v>
                </c:pt>
                <c:pt idx="26">
                  <c:v>0.82384302594322945</c:v>
                </c:pt>
                <c:pt idx="27">
                  <c:v>0.86506456107116803</c:v>
                </c:pt>
                <c:pt idx="28">
                  <c:v>0.89783626074536926</c:v>
                </c:pt>
                <c:pt idx="29">
                  <c:v>0.9233539165173098</c:v>
                </c:pt>
                <c:pt idx="30">
                  <c:v>0.94290329341114221</c:v>
                </c:pt>
                <c:pt idx="31">
                  <c:v>0.95769485449419023</c:v>
                </c:pt>
                <c:pt idx="32">
                  <c:v>0.96878136230253087</c:v>
                </c:pt>
                <c:pt idx="33">
                  <c:v>0.97703221110111449</c:v>
                </c:pt>
                <c:pt idx="34">
                  <c:v>0.98314037268941634</c:v>
                </c:pt>
                <c:pt idx="35">
                  <c:v>0.98764464337519398</c:v>
                </c:pt>
                <c:pt idx="36">
                  <c:v>0.9909566082520801</c:v>
                </c:pt>
                <c:pt idx="37">
                  <c:v>0.99338671578297288</c:v>
                </c:pt>
                <c:pt idx="38">
                  <c:v>0.99516699840342882</c:v>
                </c:pt>
                <c:pt idx="39">
                  <c:v>0.99646973571116193</c:v>
                </c:pt>
                <c:pt idx="40">
                  <c:v>0.99742222930072977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'2Male|Wt'!$W$10</c:f>
              <c:strCache>
                <c:ptCount val="1"/>
                <c:pt idx="0">
                  <c:v>pY Est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'2Male|Wt'!$Q$11:$Q$51</c:f>
              <c:numCache>
                <c:formatCode>0</c:formatCode>
                <c:ptCount val="41"/>
                <c:pt idx="0">
                  <c:v>94</c:v>
                </c:pt>
                <c:pt idx="1">
                  <c:v>96</c:v>
                </c:pt>
                <c:pt idx="2">
                  <c:v>98</c:v>
                </c:pt>
                <c:pt idx="3">
                  <c:v>100</c:v>
                </c:pt>
                <c:pt idx="4">
                  <c:v>102</c:v>
                </c:pt>
                <c:pt idx="5">
                  <c:v>104</c:v>
                </c:pt>
                <c:pt idx="6">
                  <c:v>106</c:v>
                </c:pt>
                <c:pt idx="7">
                  <c:v>108</c:v>
                </c:pt>
                <c:pt idx="8">
                  <c:v>110</c:v>
                </c:pt>
                <c:pt idx="9">
                  <c:v>112</c:v>
                </c:pt>
                <c:pt idx="10">
                  <c:v>114</c:v>
                </c:pt>
                <c:pt idx="11">
                  <c:v>116</c:v>
                </c:pt>
                <c:pt idx="12">
                  <c:v>118</c:v>
                </c:pt>
                <c:pt idx="13">
                  <c:v>120</c:v>
                </c:pt>
                <c:pt idx="14">
                  <c:v>122</c:v>
                </c:pt>
                <c:pt idx="15">
                  <c:v>124</c:v>
                </c:pt>
                <c:pt idx="16">
                  <c:v>126</c:v>
                </c:pt>
                <c:pt idx="17">
                  <c:v>128</c:v>
                </c:pt>
                <c:pt idx="18">
                  <c:v>130</c:v>
                </c:pt>
                <c:pt idx="19">
                  <c:v>132</c:v>
                </c:pt>
                <c:pt idx="20">
                  <c:v>134</c:v>
                </c:pt>
                <c:pt idx="21">
                  <c:v>136</c:v>
                </c:pt>
                <c:pt idx="22">
                  <c:v>138</c:v>
                </c:pt>
                <c:pt idx="23">
                  <c:v>140</c:v>
                </c:pt>
                <c:pt idx="24">
                  <c:v>142</c:v>
                </c:pt>
                <c:pt idx="25">
                  <c:v>144</c:v>
                </c:pt>
                <c:pt idx="26">
                  <c:v>146</c:v>
                </c:pt>
                <c:pt idx="27">
                  <c:v>148</c:v>
                </c:pt>
                <c:pt idx="28">
                  <c:v>150</c:v>
                </c:pt>
                <c:pt idx="29">
                  <c:v>152</c:v>
                </c:pt>
                <c:pt idx="30">
                  <c:v>154</c:v>
                </c:pt>
                <c:pt idx="31">
                  <c:v>156</c:v>
                </c:pt>
                <c:pt idx="32">
                  <c:v>158</c:v>
                </c:pt>
                <c:pt idx="33">
                  <c:v>160</c:v>
                </c:pt>
                <c:pt idx="34">
                  <c:v>162</c:v>
                </c:pt>
                <c:pt idx="35">
                  <c:v>164</c:v>
                </c:pt>
                <c:pt idx="36">
                  <c:v>166</c:v>
                </c:pt>
                <c:pt idx="37">
                  <c:v>168</c:v>
                </c:pt>
                <c:pt idx="38">
                  <c:v>170</c:v>
                </c:pt>
                <c:pt idx="39">
                  <c:v>172</c:v>
                </c:pt>
                <c:pt idx="40">
                  <c:v>174</c:v>
                </c:pt>
              </c:numCache>
            </c:numRef>
          </c:xVal>
          <c:yVal>
            <c:numRef>
              <c:f>'2Male|Wt'!$W$11:$W$51</c:f>
              <c:numCache>
                <c:formatCode>0.00</c:formatCode>
                <c:ptCount val="41"/>
                <c:pt idx="0">
                  <c:v>6.7952543959404381E-3</c:v>
                </c:pt>
                <c:pt idx="1">
                  <c:v>8.5555697432767083E-3</c:v>
                </c:pt>
                <c:pt idx="2">
                  <c:v>1.0766952558125169E-2</c:v>
                </c:pt>
                <c:pt idx="3">
                  <c:v>1.3542110645496085E-2</c:v>
                </c:pt>
                <c:pt idx="4">
                  <c:v>1.7020252622009874E-2</c:v>
                </c:pt>
                <c:pt idx="5">
                  <c:v>2.1372362547053436E-2</c:v>
                </c:pt>
                <c:pt idx="6">
                  <c:v>2.6806966520180921E-2</c:v>
                </c:pt>
                <c:pt idx="7">
                  <c:v>3.3576078849181422E-2</c:v>
                </c:pt>
                <c:pt idx="8">
                  <c:v>4.1980747394060061E-2</c:v>
                </c:pt>
                <c:pt idx="9">
                  <c:v>5.2375231691658114E-2</c:v>
                </c:pt>
                <c:pt idx="10">
                  <c:v>6.5168330427310975E-2</c:v>
                </c:pt>
                <c:pt idx="11">
                  <c:v>8.0819747274425563E-2</c:v>
                </c:pt>
                <c:pt idx="12">
                  <c:v>9.9828735903918511E-2</c:v>
                </c:pt>
                <c:pt idx="13">
                  <c:v>0.12271180310899769</c:v>
                </c:pt>
                <c:pt idx="14">
                  <c:v>0.14996634194770711</c:v>
                </c:pt>
                <c:pt idx="15">
                  <c:v>0.18201824303885022</c:v>
                </c:pt>
                <c:pt idx="16">
                  <c:v>0.21915435955681389</c:v>
                </c:pt>
                <c:pt idx="17">
                  <c:v>0.26144546722449641</c:v>
                </c:pt>
                <c:pt idx="18">
                  <c:v>0.30867155002218677</c:v>
                </c:pt>
                <c:pt idx="19">
                  <c:v>0.36026703630330437</c:v>
                </c:pt>
                <c:pt idx="20">
                  <c:v>0.41530591820368878</c:v>
                </c:pt>
                <c:pt idx="21">
                  <c:v>0.47254229554470589</c:v>
                </c:pt>
                <c:pt idx="22">
                  <c:v>0.53050968022899669</c:v>
                </c:pt>
                <c:pt idx="23">
                  <c:v>0.58766537359506654</c:v>
                </c:pt>
                <c:pt idx="24">
                  <c:v>0.64255121266535209</c:v>
                </c:pt>
                <c:pt idx="25">
                  <c:v>0.69393618355115272</c:v>
                </c:pt>
                <c:pt idx="26">
                  <c:v>0.74091281242877116</c:v>
                </c:pt>
                <c:pt idx="27">
                  <c:v>0.78293456455627219</c:v>
                </c:pt>
                <c:pt idx="28">
                  <c:v>0.81979839776803631</c:v>
                </c:pt>
                <c:pt idx="29">
                  <c:v>0.85158844411855716</c:v>
                </c:pt>
                <c:pt idx="30">
                  <c:v>0.87860077453100782</c:v>
                </c:pt>
                <c:pt idx="31">
                  <c:v>0.90126662173537919</c:v>
                </c:pt>
                <c:pt idx="32">
                  <c:v>0.92008555327103358</c:v>
                </c:pt>
                <c:pt idx="33">
                  <c:v>0.93557393937579592</c:v>
                </c:pt>
                <c:pt idx="34">
                  <c:v>0.94822939379949545</c:v>
                </c:pt>
                <c:pt idx="35">
                  <c:v>0.958509136888268</c:v>
                </c:pt>
                <c:pt idx="36">
                  <c:v>0.96681912602443421</c:v>
                </c:pt>
                <c:pt idx="37">
                  <c:v>0.973510746859517</c:v>
                </c:pt>
                <c:pt idx="38">
                  <c:v>0.97888233813480985</c:v>
                </c:pt>
                <c:pt idx="39">
                  <c:v>0.98318347393896111</c:v>
                </c:pt>
                <c:pt idx="40">
                  <c:v>0.98662055041422314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967400"/>
        <c:axId val="138241760"/>
      </c:scatterChart>
      <c:valAx>
        <c:axId val="239967400"/>
        <c:scaling>
          <c:orientation val="minMax"/>
          <c:max val="18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Weight (pounds)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41760"/>
        <c:crosses val="autoZero"/>
        <c:crossBetween val="midCat"/>
        <c:majorUnit val="10"/>
      </c:valAx>
      <c:valAx>
        <c:axId val="1382417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967400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Weight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'2Male|Wt'!$A$2</c:f>
              <c:strCache>
                <c:ptCount val="1"/>
                <c:pt idx="0">
                  <c:v>Weight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560123734533183"/>
                  <c:y val="0.1284951881014872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aseline="0"/>
                      <a:t>y = 0.0146x - 1.4956</a:t>
                    </a:r>
                    <a:br>
                      <a:rPr lang="en-US" sz="1100" baseline="0"/>
                    </a:br>
                    <a:r>
                      <a:rPr lang="en-US" sz="1100" baseline="0"/>
                      <a:t>R² = 0.5022</a:t>
                    </a:r>
                    <a:endParaRPr lang="en-US" sz="11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'2Male|Wt'!$A$3:$A$94</c:f>
              <c:numCache>
                <c:formatCode>General</c:formatCode>
                <c:ptCount val="92"/>
                <c:pt idx="0">
                  <c:v>150</c:v>
                </c:pt>
                <c:pt idx="1">
                  <c:v>145</c:v>
                </c:pt>
                <c:pt idx="2">
                  <c:v>160</c:v>
                </c:pt>
                <c:pt idx="3">
                  <c:v>145</c:v>
                </c:pt>
                <c:pt idx="4">
                  <c:v>135</c:v>
                </c:pt>
                <c:pt idx="5">
                  <c:v>125</c:v>
                </c:pt>
                <c:pt idx="6">
                  <c:v>170</c:v>
                </c:pt>
                <c:pt idx="7">
                  <c:v>155</c:v>
                </c:pt>
                <c:pt idx="8">
                  <c:v>164</c:v>
                </c:pt>
                <c:pt idx="9">
                  <c:v>120</c:v>
                </c:pt>
                <c:pt idx="10">
                  <c:v>120</c:v>
                </c:pt>
                <c:pt idx="11">
                  <c:v>160</c:v>
                </c:pt>
                <c:pt idx="12">
                  <c:v>195</c:v>
                </c:pt>
                <c:pt idx="13">
                  <c:v>175</c:v>
                </c:pt>
                <c:pt idx="14">
                  <c:v>120</c:v>
                </c:pt>
                <c:pt idx="15">
                  <c:v>112</c:v>
                </c:pt>
                <c:pt idx="16">
                  <c:v>190</c:v>
                </c:pt>
                <c:pt idx="17">
                  <c:v>155</c:v>
                </c:pt>
                <c:pt idx="18">
                  <c:v>155</c:v>
                </c:pt>
                <c:pt idx="19">
                  <c:v>122</c:v>
                </c:pt>
                <c:pt idx="20">
                  <c:v>140</c:v>
                </c:pt>
                <c:pt idx="21">
                  <c:v>155</c:v>
                </c:pt>
                <c:pt idx="22">
                  <c:v>160</c:v>
                </c:pt>
                <c:pt idx="23">
                  <c:v>130</c:v>
                </c:pt>
                <c:pt idx="24">
                  <c:v>190</c:v>
                </c:pt>
                <c:pt idx="25">
                  <c:v>175</c:v>
                </c:pt>
                <c:pt idx="26">
                  <c:v>130</c:v>
                </c:pt>
                <c:pt idx="27">
                  <c:v>125</c:v>
                </c:pt>
                <c:pt idx="28">
                  <c:v>115</c:v>
                </c:pt>
                <c:pt idx="29">
                  <c:v>190</c:v>
                </c:pt>
                <c:pt idx="30">
                  <c:v>145</c:v>
                </c:pt>
                <c:pt idx="31">
                  <c:v>180</c:v>
                </c:pt>
                <c:pt idx="32">
                  <c:v>125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142</c:v>
                </c:pt>
                <c:pt idx="37">
                  <c:v>155</c:v>
                </c:pt>
                <c:pt idx="38">
                  <c:v>150</c:v>
                </c:pt>
                <c:pt idx="39">
                  <c:v>110</c:v>
                </c:pt>
                <c:pt idx="40">
                  <c:v>170</c:v>
                </c:pt>
                <c:pt idx="41">
                  <c:v>170</c:v>
                </c:pt>
                <c:pt idx="42">
                  <c:v>185</c:v>
                </c:pt>
                <c:pt idx="43">
                  <c:v>130</c:v>
                </c:pt>
                <c:pt idx="44">
                  <c:v>150</c:v>
                </c:pt>
                <c:pt idx="45">
                  <c:v>190</c:v>
                </c:pt>
                <c:pt idx="46">
                  <c:v>135</c:v>
                </c:pt>
                <c:pt idx="47">
                  <c:v>170</c:v>
                </c:pt>
                <c:pt idx="48">
                  <c:v>155</c:v>
                </c:pt>
                <c:pt idx="49">
                  <c:v>140</c:v>
                </c:pt>
                <c:pt idx="50">
                  <c:v>118</c:v>
                </c:pt>
                <c:pt idx="51">
                  <c:v>110</c:v>
                </c:pt>
                <c:pt idx="52">
                  <c:v>165</c:v>
                </c:pt>
                <c:pt idx="53">
                  <c:v>157</c:v>
                </c:pt>
                <c:pt idx="54">
                  <c:v>155</c:v>
                </c:pt>
                <c:pt idx="55">
                  <c:v>155</c:v>
                </c:pt>
                <c:pt idx="56">
                  <c:v>123</c:v>
                </c:pt>
                <c:pt idx="57">
                  <c:v>138</c:v>
                </c:pt>
                <c:pt idx="58">
                  <c:v>215</c:v>
                </c:pt>
                <c:pt idx="59">
                  <c:v>148</c:v>
                </c:pt>
                <c:pt idx="60">
                  <c:v>108</c:v>
                </c:pt>
                <c:pt idx="61">
                  <c:v>108</c:v>
                </c:pt>
                <c:pt idx="62">
                  <c:v>130</c:v>
                </c:pt>
                <c:pt idx="63">
                  <c:v>145</c:v>
                </c:pt>
                <c:pt idx="64">
                  <c:v>180</c:v>
                </c:pt>
                <c:pt idx="65">
                  <c:v>115</c:v>
                </c:pt>
                <c:pt idx="66">
                  <c:v>133</c:v>
                </c:pt>
                <c:pt idx="67">
                  <c:v>155</c:v>
                </c:pt>
                <c:pt idx="68">
                  <c:v>125</c:v>
                </c:pt>
                <c:pt idx="69">
                  <c:v>102</c:v>
                </c:pt>
                <c:pt idx="70">
                  <c:v>138</c:v>
                </c:pt>
                <c:pt idx="71">
                  <c:v>180</c:v>
                </c:pt>
                <c:pt idx="72">
                  <c:v>116</c:v>
                </c:pt>
                <c:pt idx="73">
                  <c:v>150</c:v>
                </c:pt>
                <c:pt idx="74">
                  <c:v>136</c:v>
                </c:pt>
                <c:pt idx="75">
                  <c:v>130</c:v>
                </c:pt>
                <c:pt idx="76">
                  <c:v>118</c:v>
                </c:pt>
                <c:pt idx="77">
                  <c:v>150</c:v>
                </c:pt>
                <c:pt idx="78">
                  <c:v>95</c:v>
                </c:pt>
                <c:pt idx="79">
                  <c:v>150</c:v>
                </c:pt>
                <c:pt idx="80">
                  <c:v>155</c:v>
                </c:pt>
                <c:pt idx="81">
                  <c:v>135</c:v>
                </c:pt>
                <c:pt idx="82">
                  <c:v>160</c:v>
                </c:pt>
                <c:pt idx="83">
                  <c:v>140</c:v>
                </c:pt>
                <c:pt idx="84">
                  <c:v>145</c:v>
                </c:pt>
                <c:pt idx="85">
                  <c:v>125</c:v>
                </c:pt>
                <c:pt idx="86">
                  <c:v>153</c:v>
                </c:pt>
                <c:pt idx="87">
                  <c:v>150</c:v>
                </c:pt>
                <c:pt idx="88">
                  <c:v>131</c:v>
                </c:pt>
                <c:pt idx="89">
                  <c:v>140</c:v>
                </c:pt>
                <c:pt idx="90">
                  <c:v>116</c:v>
                </c:pt>
                <c:pt idx="91">
                  <c:v>121</c:v>
                </c:pt>
              </c:numCache>
            </c:numRef>
          </c:xVal>
          <c:yVal>
            <c:numRef>
              <c:f>'2Male|Wt'!$B$3:$B$94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'2Male|Wt'!$Q$10</c:f>
              <c:strCache>
                <c:ptCount val="1"/>
                <c:pt idx="0">
                  <c:v>Q-Axis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'2Male|Wt'!$Q$11:$Q$46</c:f>
              <c:numCache>
                <c:formatCode>0</c:formatCode>
                <c:ptCount val="36"/>
                <c:pt idx="0">
                  <c:v>94</c:v>
                </c:pt>
                <c:pt idx="1">
                  <c:v>96</c:v>
                </c:pt>
                <c:pt idx="2">
                  <c:v>98</c:v>
                </c:pt>
                <c:pt idx="3">
                  <c:v>100</c:v>
                </c:pt>
                <c:pt idx="4">
                  <c:v>102</c:v>
                </c:pt>
                <c:pt idx="5">
                  <c:v>104</c:v>
                </c:pt>
                <c:pt idx="6">
                  <c:v>106</c:v>
                </c:pt>
                <c:pt idx="7">
                  <c:v>108</c:v>
                </c:pt>
                <c:pt idx="8">
                  <c:v>110</c:v>
                </c:pt>
                <c:pt idx="9">
                  <c:v>112</c:v>
                </c:pt>
                <c:pt idx="10">
                  <c:v>114</c:v>
                </c:pt>
                <c:pt idx="11">
                  <c:v>116</c:v>
                </c:pt>
                <c:pt idx="12">
                  <c:v>118</c:v>
                </c:pt>
                <c:pt idx="13">
                  <c:v>120</c:v>
                </c:pt>
                <c:pt idx="14">
                  <c:v>122</c:v>
                </c:pt>
                <c:pt idx="15">
                  <c:v>124</c:v>
                </c:pt>
                <c:pt idx="16">
                  <c:v>126</c:v>
                </c:pt>
                <c:pt idx="17">
                  <c:v>128</c:v>
                </c:pt>
                <c:pt idx="18">
                  <c:v>130</c:v>
                </c:pt>
                <c:pt idx="19">
                  <c:v>132</c:v>
                </c:pt>
                <c:pt idx="20">
                  <c:v>134</c:v>
                </c:pt>
                <c:pt idx="21">
                  <c:v>136</c:v>
                </c:pt>
                <c:pt idx="22">
                  <c:v>138</c:v>
                </c:pt>
                <c:pt idx="23">
                  <c:v>140</c:v>
                </c:pt>
                <c:pt idx="24">
                  <c:v>142</c:v>
                </c:pt>
                <c:pt idx="25">
                  <c:v>144</c:v>
                </c:pt>
                <c:pt idx="26">
                  <c:v>146</c:v>
                </c:pt>
                <c:pt idx="27">
                  <c:v>148</c:v>
                </c:pt>
                <c:pt idx="28">
                  <c:v>150</c:v>
                </c:pt>
                <c:pt idx="29">
                  <c:v>152</c:v>
                </c:pt>
                <c:pt idx="30">
                  <c:v>154</c:v>
                </c:pt>
                <c:pt idx="31">
                  <c:v>156</c:v>
                </c:pt>
                <c:pt idx="32">
                  <c:v>158</c:v>
                </c:pt>
                <c:pt idx="33">
                  <c:v>160</c:v>
                </c:pt>
                <c:pt idx="34">
                  <c:v>162</c:v>
                </c:pt>
                <c:pt idx="35">
                  <c:v>164</c:v>
                </c:pt>
              </c:numCache>
            </c:numRef>
          </c:xVal>
          <c:yVal>
            <c:numRef>
              <c:f>'2Male|Wt'!$T$11:$T$46</c:f>
              <c:numCache>
                <c:formatCode>0%</c:formatCode>
                <c:ptCount val="36"/>
                <c:pt idx="0">
                  <c:v>1.2822209789156544E-3</c:v>
                </c:pt>
                <c:pt idx="1">
                  <c:v>1.756848463058535E-3</c:v>
                </c:pt>
                <c:pt idx="2">
                  <c:v>2.4067408873330201E-3</c:v>
                </c:pt>
                <c:pt idx="3">
                  <c:v>3.2962473239872268E-3</c:v>
                </c:pt>
                <c:pt idx="4">
                  <c:v>4.5130188566968096E-3</c:v>
                </c:pt>
                <c:pt idx="5">
                  <c:v>6.1761642693958551E-3</c:v>
                </c:pt>
                <c:pt idx="6">
                  <c:v>8.4470141789268188E-3</c:v>
                </c:pt>
                <c:pt idx="7">
                  <c:v>1.1543111623946762E-2</c:v>
                </c:pt>
                <c:pt idx="8">
                  <c:v>1.5755994055972229E-2</c:v>
                </c:pt>
                <c:pt idx="9">
                  <c:v>2.1473047684369858E-2</c:v>
                </c:pt>
                <c:pt idx="10">
                  <c:v>2.9202981720005343E-2</c:v>
                </c:pt>
                <c:pt idx="11">
                  <c:v>3.9602942059722861E-2</c:v>
                </c:pt>
                <c:pt idx="12">
                  <c:v>5.3502487348431382E-2</c:v>
                </c:pt>
                <c:pt idx="13">
                  <c:v>7.1915097019621857E-2</c:v>
                </c:pt>
                <c:pt idx="14">
                  <c:v>9.6021468934284038E-2</c:v>
                </c:pt>
                <c:pt idx="15">
                  <c:v>0.12710179811737154</c:v>
                </c:pt>
                <c:pt idx="16">
                  <c:v>0.16639052900040505</c:v>
                </c:pt>
                <c:pt idx="17">
                  <c:v>0.21483489305581913</c:v>
                </c:pt>
                <c:pt idx="18">
                  <c:v>0.27276857402269261</c:v>
                </c:pt>
                <c:pt idx="19">
                  <c:v>0.33956847162399084</c:v>
                </c:pt>
                <c:pt idx="20">
                  <c:v>0.41342736913169387</c:v>
                </c:pt>
                <c:pt idx="21">
                  <c:v>0.49139798518239636</c:v>
                </c:pt>
                <c:pt idx="22">
                  <c:v>0.56978934520163682</c:v>
                </c:pt>
                <c:pt idx="23">
                  <c:v>0.64483109122333993</c:v>
                </c:pt>
                <c:pt idx="24">
                  <c:v>0.7133679740569483</c:v>
                </c:pt>
                <c:pt idx="25">
                  <c:v>0.77332836447609432</c:v>
                </c:pt>
                <c:pt idx="26">
                  <c:v>0.82384302594322945</c:v>
                </c:pt>
                <c:pt idx="27">
                  <c:v>0.86506456107116803</c:v>
                </c:pt>
                <c:pt idx="28">
                  <c:v>0.89783626074536926</c:v>
                </c:pt>
                <c:pt idx="29">
                  <c:v>0.9233539165173098</c:v>
                </c:pt>
                <c:pt idx="30">
                  <c:v>0.94290329341114221</c:v>
                </c:pt>
                <c:pt idx="31">
                  <c:v>0.95769485449419023</c:v>
                </c:pt>
                <c:pt idx="32">
                  <c:v>0.96878136230253087</c:v>
                </c:pt>
                <c:pt idx="33">
                  <c:v>0.97703221110111449</c:v>
                </c:pt>
                <c:pt idx="34">
                  <c:v>0.98314037268941634</c:v>
                </c:pt>
                <c:pt idx="35">
                  <c:v>0.98764464337519398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240192"/>
        <c:axId val="138240584"/>
      </c:scatterChart>
      <c:valAx>
        <c:axId val="138240192"/>
        <c:scaling>
          <c:orientation val="minMax"/>
          <c:max val="215"/>
          <c:min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Weight (pounds)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40584"/>
        <c:crosses val="autoZero"/>
        <c:crossBetween val="midCat"/>
        <c:majorUnit val="25"/>
      </c:valAx>
      <c:valAx>
        <c:axId val="13824058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4019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Weight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'2Male|Wt'!$B$2</c:f>
              <c:strCache>
                <c:ptCount val="1"/>
                <c:pt idx="0">
                  <c:v>Male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'2Male|Wt'!$A$3:$A$94</c:f>
              <c:numCache>
                <c:formatCode>General</c:formatCode>
                <c:ptCount val="92"/>
                <c:pt idx="0">
                  <c:v>150</c:v>
                </c:pt>
                <c:pt idx="1">
                  <c:v>145</c:v>
                </c:pt>
                <c:pt idx="2">
                  <c:v>160</c:v>
                </c:pt>
                <c:pt idx="3">
                  <c:v>145</c:v>
                </c:pt>
                <c:pt idx="4">
                  <c:v>135</c:v>
                </c:pt>
                <c:pt idx="5">
                  <c:v>125</c:v>
                </c:pt>
                <c:pt idx="6">
                  <c:v>170</c:v>
                </c:pt>
                <c:pt idx="7">
                  <c:v>155</c:v>
                </c:pt>
                <c:pt idx="8">
                  <c:v>164</c:v>
                </c:pt>
                <c:pt idx="9">
                  <c:v>120</c:v>
                </c:pt>
                <c:pt idx="10">
                  <c:v>120</c:v>
                </c:pt>
                <c:pt idx="11">
                  <c:v>160</c:v>
                </c:pt>
                <c:pt idx="12">
                  <c:v>195</c:v>
                </c:pt>
                <c:pt idx="13">
                  <c:v>175</c:v>
                </c:pt>
                <c:pt idx="14">
                  <c:v>120</c:v>
                </c:pt>
                <c:pt idx="15">
                  <c:v>112</c:v>
                </c:pt>
                <c:pt idx="16">
                  <c:v>190</c:v>
                </c:pt>
                <c:pt idx="17">
                  <c:v>155</c:v>
                </c:pt>
                <c:pt idx="18">
                  <c:v>155</c:v>
                </c:pt>
                <c:pt idx="19">
                  <c:v>122</c:v>
                </c:pt>
                <c:pt idx="20">
                  <c:v>140</c:v>
                </c:pt>
                <c:pt idx="21">
                  <c:v>155</c:v>
                </c:pt>
                <c:pt idx="22">
                  <c:v>160</c:v>
                </c:pt>
                <c:pt idx="23">
                  <c:v>130</c:v>
                </c:pt>
                <c:pt idx="24">
                  <c:v>190</c:v>
                </c:pt>
                <c:pt idx="25">
                  <c:v>175</c:v>
                </c:pt>
                <c:pt idx="26">
                  <c:v>130</c:v>
                </c:pt>
                <c:pt idx="27">
                  <c:v>125</c:v>
                </c:pt>
                <c:pt idx="28">
                  <c:v>115</c:v>
                </c:pt>
                <c:pt idx="29">
                  <c:v>190</c:v>
                </c:pt>
                <c:pt idx="30">
                  <c:v>145</c:v>
                </c:pt>
                <c:pt idx="31">
                  <c:v>180</c:v>
                </c:pt>
                <c:pt idx="32">
                  <c:v>125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142</c:v>
                </c:pt>
                <c:pt idx="37">
                  <c:v>155</c:v>
                </c:pt>
                <c:pt idx="38">
                  <c:v>150</c:v>
                </c:pt>
                <c:pt idx="39">
                  <c:v>110</c:v>
                </c:pt>
                <c:pt idx="40">
                  <c:v>170</c:v>
                </c:pt>
                <c:pt idx="41">
                  <c:v>170</c:v>
                </c:pt>
                <c:pt idx="42">
                  <c:v>185</c:v>
                </c:pt>
                <c:pt idx="43">
                  <c:v>130</c:v>
                </c:pt>
                <c:pt idx="44">
                  <c:v>150</c:v>
                </c:pt>
                <c:pt idx="45">
                  <c:v>190</c:v>
                </c:pt>
                <c:pt idx="46">
                  <c:v>135</c:v>
                </c:pt>
                <c:pt idx="47">
                  <c:v>170</c:v>
                </c:pt>
                <c:pt idx="48">
                  <c:v>155</c:v>
                </c:pt>
                <c:pt idx="49">
                  <c:v>140</c:v>
                </c:pt>
                <c:pt idx="50">
                  <c:v>118</c:v>
                </c:pt>
                <c:pt idx="51">
                  <c:v>110</c:v>
                </c:pt>
                <c:pt idx="52">
                  <c:v>165</c:v>
                </c:pt>
                <c:pt idx="53">
                  <c:v>157</c:v>
                </c:pt>
                <c:pt idx="54">
                  <c:v>155</c:v>
                </c:pt>
                <c:pt idx="55">
                  <c:v>155</c:v>
                </c:pt>
                <c:pt idx="56">
                  <c:v>123</c:v>
                </c:pt>
                <c:pt idx="57">
                  <c:v>138</c:v>
                </c:pt>
                <c:pt idx="58">
                  <c:v>215</c:v>
                </c:pt>
                <c:pt idx="59">
                  <c:v>148</c:v>
                </c:pt>
                <c:pt idx="60">
                  <c:v>108</c:v>
                </c:pt>
                <c:pt idx="61">
                  <c:v>108</c:v>
                </c:pt>
                <c:pt idx="62">
                  <c:v>130</c:v>
                </c:pt>
                <c:pt idx="63">
                  <c:v>145</c:v>
                </c:pt>
                <c:pt idx="64">
                  <c:v>180</c:v>
                </c:pt>
                <c:pt idx="65">
                  <c:v>115</c:v>
                </c:pt>
                <c:pt idx="66">
                  <c:v>133</c:v>
                </c:pt>
                <c:pt idx="67">
                  <c:v>155</c:v>
                </c:pt>
                <c:pt idx="68">
                  <c:v>125</c:v>
                </c:pt>
                <c:pt idx="69">
                  <c:v>102</c:v>
                </c:pt>
                <c:pt idx="70">
                  <c:v>138</c:v>
                </c:pt>
                <c:pt idx="71">
                  <c:v>180</c:v>
                </c:pt>
                <c:pt idx="72">
                  <c:v>116</c:v>
                </c:pt>
                <c:pt idx="73">
                  <c:v>150</c:v>
                </c:pt>
                <c:pt idx="74">
                  <c:v>136</c:v>
                </c:pt>
                <c:pt idx="75">
                  <c:v>130</c:v>
                </c:pt>
                <c:pt idx="76">
                  <c:v>118</c:v>
                </c:pt>
                <c:pt idx="77">
                  <c:v>150</c:v>
                </c:pt>
                <c:pt idx="78">
                  <c:v>95</c:v>
                </c:pt>
                <c:pt idx="79">
                  <c:v>150</c:v>
                </c:pt>
                <c:pt idx="80">
                  <c:v>155</c:v>
                </c:pt>
                <c:pt idx="81">
                  <c:v>135</c:v>
                </c:pt>
                <c:pt idx="82">
                  <c:v>160</c:v>
                </c:pt>
                <c:pt idx="83">
                  <c:v>140</c:v>
                </c:pt>
                <c:pt idx="84">
                  <c:v>145</c:v>
                </c:pt>
                <c:pt idx="85">
                  <c:v>125</c:v>
                </c:pt>
                <c:pt idx="86">
                  <c:v>153</c:v>
                </c:pt>
                <c:pt idx="87">
                  <c:v>150</c:v>
                </c:pt>
                <c:pt idx="88">
                  <c:v>131</c:v>
                </c:pt>
                <c:pt idx="89">
                  <c:v>140</c:v>
                </c:pt>
                <c:pt idx="90">
                  <c:v>116</c:v>
                </c:pt>
                <c:pt idx="91">
                  <c:v>121</c:v>
                </c:pt>
              </c:numCache>
            </c:numRef>
          </c:xVal>
          <c:yVal>
            <c:numRef>
              <c:f>'2Male|Wt'!$B$3:$B$94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'2Male|Wt'!$T$10</c:f>
              <c:strCache>
                <c:ptCount val="1"/>
                <c:pt idx="0">
                  <c:v>Prob Y=1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'2Male|Wt'!$Q$11:$Q$46</c:f>
              <c:numCache>
                <c:formatCode>0</c:formatCode>
                <c:ptCount val="36"/>
                <c:pt idx="0">
                  <c:v>94</c:v>
                </c:pt>
                <c:pt idx="1">
                  <c:v>96</c:v>
                </c:pt>
                <c:pt idx="2">
                  <c:v>98</c:v>
                </c:pt>
                <c:pt idx="3">
                  <c:v>100</c:v>
                </c:pt>
                <c:pt idx="4">
                  <c:v>102</c:v>
                </c:pt>
                <c:pt idx="5">
                  <c:v>104</c:v>
                </c:pt>
                <c:pt idx="6">
                  <c:v>106</c:v>
                </c:pt>
                <c:pt idx="7">
                  <c:v>108</c:v>
                </c:pt>
                <c:pt idx="8">
                  <c:v>110</c:v>
                </c:pt>
                <c:pt idx="9">
                  <c:v>112</c:v>
                </c:pt>
                <c:pt idx="10">
                  <c:v>114</c:v>
                </c:pt>
                <c:pt idx="11">
                  <c:v>116</c:v>
                </c:pt>
                <c:pt idx="12">
                  <c:v>118</c:v>
                </c:pt>
                <c:pt idx="13">
                  <c:v>120</c:v>
                </c:pt>
                <c:pt idx="14">
                  <c:v>122</c:v>
                </c:pt>
                <c:pt idx="15">
                  <c:v>124</c:v>
                </c:pt>
                <c:pt idx="16">
                  <c:v>126</c:v>
                </c:pt>
                <c:pt idx="17">
                  <c:v>128</c:v>
                </c:pt>
                <c:pt idx="18">
                  <c:v>130</c:v>
                </c:pt>
                <c:pt idx="19">
                  <c:v>132</c:v>
                </c:pt>
                <c:pt idx="20">
                  <c:v>134</c:v>
                </c:pt>
                <c:pt idx="21">
                  <c:v>136</c:v>
                </c:pt>
                <c:pt idx="22">
                  <c:v>138</c:v>
                </c:pt>
                <c:pt idx="23">
                  <c:v>140</c:v>
                </c:pt>
                <c:pt idx="24">
                  <c:v>142</c:v>
                </c:pt>
                <c:pt idx="25">
                  <c:v>144</c:v>
                </c:pt>
                <c:pt idx="26">
                  <c:v>146</c:v>
                </c:pt>
                <c:pt idx="27">
                  <c:v>148</c:v>
                </c:pt>
                <c:pt idx="28">
                  <c:v>150</c:v>
                </c:pt>
                <c:pt idx="29">
                  <c:v>152</c:v>
                </c:pt>
                <c:pt idx="30">
                  <c:v>154</c:v>
                </c:pt>
                <c:pt idx="31">
                  <c:v>156</c:v>
                </c:pt>
                <c:pt idx="32">
                  <c:v>158</c:v>
                </c:pt>
                <c:pt idx="33">
                  <c:v>160</c:v>
                </c:pt>
                <c:pt idx="34">
                  <c:v>162</c:v>
                </c:pt>
                <c:pt idx="35">
                  <c:v>164</c:v>
                </c:pt>
              </c:numCache>
            </c:numRef>
          </c:xVal>
          <c:yVal>
            <c:numRef>
              <c:f>'2Male|Wt'!$T$11:$T$46</c:f>
              <c:numCache>
                <c:formatCode>0%</c:formatCode>
                <c:ptCount val="36"/>
                <c:pt idx="0">
                  <c:v>1.2822209789156544E-3</c:v>
                </c:pt>
                <c:pt idx="1">
                  <c:v>1.756848463058535E-3</c:v>
                </c:pt>
                <c:pt idx="2">
                  <c:v>2.4067408873330201E-3</c:v>
                </c:pt>
                <c:pt idx="3">
                  <c:v>3.2962473239872268E-3</c:v>
                </c:pt>
                <c:pt idx="4">
                  <c:v>4.5130188566968096E-3</c:v>
                </c:pt>
                <c:pt idx="5">
                  <c:v>6.1761642693958551E-3</c:v>
                </c:pt>
                <c:pt idx="6">
                  <c:v>8.4470141789268188E-3</c:v>
                </c:pt>
                <c:pt idx="7">
                  <c:v>1.1543111623946762E-2</c:v>
                </c:pt>
                <c:pt idx="8">
                  <c:v>1.5755994055972229E-2</c:v>
                </c:pt>
                <c:pt idx="9">
                  <c:v>2.1473047684369858E-2</c:v>
                </c:pt>
                <c:pt idx="10">
                  <c:v>2.9202981720005343E-2</c:v>
                </c:pt>
                <c:pt idx="11">
                  <c:v>3.9602942059722861E-2</c:v>
                </c:pt>
                <c:pt idx="12">
                  <c:v>5.3502487348431382E-2</c:v>
                </c:pt>
                <c:pt idx="13">
                  <c:v>7.1915097019621857E-2</c:v>
                </c:pt>
                <c:pt idx="14">
                  <c:v>9.6021468934284038E-2</c:v>
                </c:pt>
                <c:pt idx="15">
                  <c:v>0.12710179811737154</c:v>
                </c:pt>
                <c:pt idx="16">
                  <c:v>0.16639052900040505</c:v>
                </c:pt>
                <c:pt idx="17">
                  <c:v>0.21483489305581913</c:v>
                </c:pt>
                <c:pt idx="18">
                  <c:v>0.27276857402269261</c:v>
                </c:pt>
                <c:pt idx="19">
                  <c:v>0.33956847162399084</c:v>
                </c:pt>
                <c:pt idx="20">
                  <c:v>0.41342736913169387</c:v>
                </c:pt>
                <c:pt idx="21">
                  <c:v>0.49139798518239636</c:v>
                </c:pt>
                <c:pt idx="22">
                  <c:v>0.56978934520163682</c:v>
                </c:pt>
                <c:pt idx="23">
                  <c:v>0.64483109122333993</c:v>
                </c:pt>
                <c:pt idx="24">
                  <c:v>0.7133679740569483</c:v>
                </c:pt>
                <c:pt idx="25">
                  <c:v>0.77332836447609432</c:v>
                </c:pt>
                <c:pt idx="26">
                  <c:v>0.82384302594322945</c:v>
                </c:pt>
                <c:pt idx="27">
                  <c:v>0.86506456107116803</c:v>
                </c:pt>
                <c:pt idx="28">
                  <c:v>0.89783626074536926</c:v>
                </c:pt>
                <c:pt idx="29">
                  <c:v>0.9233539165173098</c:v>
                </c:pt>
                <c:pt idx="30">
                  <c:v>0.94290329341114221</c:v>
                </c:pt>
                <c:pt idx="31">
                  <c:v>0.95769485449419023</c:v>
                </c:pt>
                <c:pt idx="32">
                  <c:v>0.96878136230253087</c:v>
                </c:pt>
                <c:pt idx="33">
                  <c:v>0.97703221110111449</c:v>
                </c:pt>
                <c:pt idx="34">
                  <c:v>0.98314037268941634</c:v>
                </c:pt>
                <c:pt idx="35">
                  <c:v>0.98764464337519398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'2Male|Wt'!$V$10</c:f>
              <c:strCache>
                <c:ptCount val="1"/>
                <c:pt idx="0">
                  <c:v>pY OLS2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'2Male|Wt'!$Q$11:$Q$51</c:f>
              <c:numCache>
                <c:formatCode>0</c:formatCode>
                <c:ptCount val="41"/>
                <c:pt idx="0">
                  <c:v>94</c:v>
                </c:pt>
                <c:pt idx="1">
                  <c:v>96</c:v>
                </c:pt>
                <c:pt idx="2">
                  <c:v>98</c:v>
                </c:pt>
                <c:pt idx="3">
                  <c:v>100</c:v>
                </c:pt>
                <c:pt idx="4">
                  <c:v>102</c:v>
                </c:pt>
                <c:pt idx="5">
                  <c:v>104</c:v>
                </c:pt>
                <c:pt idx="6">
                  <c:v>106</c:v>
                </c:pt>
                <c:pt idx="7">
                  <c:v>108</c:v>
                </c:pt>
                <c:pt idx="8">
                  <c:v>110</c:v>
                </c:pt>
                <c:pt idx="9">
                  <c:v>112</c:v>
                </c:pt>
                <c:pt idx="10">
                  <c:v>114</c:v>
                </c:pt>
                <c:pt idx="11">
                  <c:v>116</c:v>
                </c:pt>
                <c:pt idx="12">
                  <c:v>118</c:v>
                </c:pt>
                <c:pt idx="13">
                  <c:v>120</c:v>
                </c:pt>
                <c:pt idx="14">
                  <c:v>122</c:v>
                </c:pt>
                <c:pt idx="15">
                  <c:v>124</c:v>
                </c:pt>
                <c:pt idx="16">
                  <c:v>126</c:v>
                </c:pt>
                <c:pt idx="17">
                  <c:v>128</c:v>
                </c:pt>
                <c:pt idx="18">
                  <c:v>130</c:v>
                </c:pt>
                <c:pt idx="19">
                  <c:v>132</c:v>
                </c:pt>
                <c:pt idx="20">
                  <c:v>134</c:v>
                </c:pt>
                <c:pt idx="21">
                  <c:v>136</c:v>
                </c:pt>
                <c:pt idx="22">
                  <c:v>138</c:v>
                </c:pt>
                <c:pt idx="23">
                  <c:v>140</c:v>
                </c:pt>
                <c:pt idx="24">
                  <c:v>142</c:v>
                </c:pt>
                <c:pt idx="25">
                  <c:v>144</c:v>
                </c:pt>
                <c:pt idx="26">
                  <c:v>146</c:v>
                </c:pt>
                <c:pt idx="27">
                  <c:v>148</c:v>
                </c:pt>
                <c:pt idx="28">
                  <c:v>150</c:v>
                </c:pt>
                <c:pt idx="29">
                  <c:v>152</c:v>
                </c:pt>
                <c:pt idx="30">
                  <c:v>154</c:v>
                </c:pt>
                <c:pt idx="31">
                  <c:v>156</c:v>
                </c:pt>
                <c:pt idx="32">
                  <c:v>158</c:v>
                </c:pt>
                <c:pt idx="33">
                  <c:v>160</c:v>
                </c:pt>
                <c:pt idx="34">
                  <c:v>162</c:v>
                </c:pt>
                <c:pt idx="35">
                  <c:v>164</c:v>
                </c:pt>
                <c:pt idx="36">
                  <c:v>166</c:v>
                </c:pt>
                <c:pt idx="37">
                  <c:v>168</c:v>
                </c:pt>
                <c:pt idx="38">
                  <c:v>170</c:v>
                </c:pt>
                <c:pt idx="39">
                  <c:v>172</c:v>
                </c:pt>
                <c:pt idx="40">
                  <c:v>174</c:v>
                </c:pt>
              </c:numCache>
            </c:numRef>
          </c:xVal>
          <c:yVal>
            <c:numRef>
              <c:f>'2Male|Wt'!$V$11:$V$51</c:f>
              <c:numCache>
                <c:formatCode>0.00</c:formatCode>
                <c:ptCount val="41"/>
                <c:pt idx="0">
                  <c:v>-0.86469150885766577</c:v>
                </c:pt>
                <c:pt idx="1">
                  <c:v>-0.80665852168601038</c:v>
                </c:pt>
                <c:pt idx="2">
                  <c:v>-0.74862553451435476</c:v>
                </c:pt>
                <c:pt idx="3">
                  <c:v>-0.69059254734269937</c:v>
                </c:pt>
                <c:pt idx="4">
                  <c:v>-0.63255956017104398</c:v>
                </c:pt>
                <c:pt idx="5">
                  <c:v>-0.57452657299938859</c:v>
                </c:pt>
                <c:pt idx="6">
                  <c:v>-0.51649358582773297</c:v>
                </c:pt>
                <c:pt idx="7">
                  <c:v>-0.45846059865607758</c:v>
                </c:pt>
                <c:pt idx="8">
                  <c:v>-0.40042761148442219</c:v>
                </c:pt>
                <c:pt idx="9">
                  <c:v>-0.34239462431276668</c:v>
                </c:pt>
                <c:pt idx="10">
                  <c:v>-0.28436163714111129</c:v>
                </c:pt>
                <c:pt idx="11">
                  <c:v>-0.22632864996945579</c:v>
                </c:pt>
                <c:pt idx="12">
                  <c:v>-0.16829566279780039</c:v>
                </c:pt>
                <c:pt idx="13">
                  <c:v>-0.11026267562614489</c:v>
                </c:pt>
                <c:pt idx="14">
                  <c:v>-5.2229688454489498E-2</c:v>
                </c:pt>
                <c:pt idx="15">
                  <c:v>5.8032987171660055E-3</c:v>
                </c:pt>
                <c:pt idx="16">
                  <c:v>6.3836285888821398E-2</c:v>
                </c:pt>
                <c:pt idx="17">
                  <c:v>0.1218692730604769</c:v>
                </c:pt>
                <c:pt idx="18">
                  <c:v>0.17990226023213235</c:v>
                </c:pt>
                <c:pt idx="19">
                  <c:v>0.2379352474037878</c:v>
                </c:pt>
                <c:pt idx="20">
                  <c:v>0.29596823457544325</c:v>
                </c:pt>
                <c:pt idx="21">
                  <c:v>0.35400122174709869</c:v>
                </c:pt>
                <c:pt idx="22">
                  <c:v>0.41203420891875409</c:v>
                </c:pt>
                <c:pt idx="23">
                  <c:v>0.47006719609040959</c:v>
                </c:pt>
                <c:pt idx="24">
                  <c:v>0.52810018326206498</c:v>
                </c:pt>
                <c:pt idx="25">
                  <c:v>0.58613317043372049</c:v>
                </c:pt>
                <c:pt idx="26">
                  <c:v>0.64416615760537588</c:v>
                </c:pt>
                <c:pt idx="27">
                  <c:v>0.70219914477703138</c:v>
                </c:pt>
                <c:pt idx="28">
                  <c:v>0.76023213194868677</c:v>
                </c:pt>
                <c:pt idx="29">
                  <c:v>0.81826511912034228</c:v>
                </c:pt>
                <c:pt idx="30">
                  <c:v>0.87629810629199767</c:v>
                </c:pt>
                <c:pt idx="31">
                  <c:v>0.93433109346365317</c:v>
                </c:pt>
                <c:pt idx="32">
                  <c:v>0.99236408063530868</c:v>
                </c:pt>
                <c:pt idx="33">
                  <c:v>1.0503970678069641</c:v>
                </c:pt>
                <c:pt idx="34">
                  <c:v>1.1084300549786195</c:v>
                </c:pt>
                <c:pt idx="35">
                  <c:v>1.1664630421502751</c:v>
                </c:pt>
                <c:pt idx="36">
                  <c:v>1.2244960293219305</c:v>
                </c:pt>
                <c:pt idx="37">
                  <c:v>1.2825290164935859</c:v>
                </c:pt>
                <c:pt idx="38">
                  <c:v>1.3405620036652413</c:v>
                </c:pt>
                <c:pt idx="39">
                  <c:v>1.3985949908368966</c:v>
                </c:pt>
                <c:pt idx="40">
                  <c:v>1.456627978008552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242936"/>
        <c:axId val="138244504"/>
      </c:scatterChart>
      <c:valAx>
        <c:axId val="138242936"/>
        <c:scaling>
          <c:orientation val="minMax"/>
          <c:max val="170"/>
          <c:min val="1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Weight (pounds)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44504"/>
        <c:crosses val="autoZero"/>
        <c:crossBetween val="midCat"/>
        <c:majorUnit val="10"/>
      </c:valAx>
      <c:valAx>
        <c:axId val="1382445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4293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Weight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'2Male|Wt'!$A$2</c:f>
              <c:strCache>
                <c:ptCount val="1"/>
                <c:pt idx="0">
                  <c:v>Weight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'2Male|Wt'!$A$3:$A$94</c:f>
              <c:numCache>
                <c:formatCode>General</c:formatCode>
                <c:ptCount val="92"/>
                <c:pt idx="0">
                  <c:v>150</c:v>
                </c:pt>
                <c:pt idx="1">
                  <c:v>145</c:v>
                </c:pt>
                <c:pt idx="2">
                  <c:v>160</c:v>
                </c:pt>
                <c:pt idx="3">
                  <c:v>145</c:v>
                </c:pt>
                <c:pt idx="4">
                  <c:v>135</c:v>
                </c:pt>
                <c:pt idx="5">
                  <c:v>125</c:v>
                </c:pt>
                <c:pt idx="6">
                  <c:v>170</c:v>
                </c:pt>
                <c:pt idx="7">
                  <c:v>155</c:v>
                </c:pt>
                <c:pt idx="8">
                  <c:v>164</c:v>
                </c:pt>
                <c:pt idx="9">
                  <c:v>120</c:v>
                </c:pt>
                <c:pt idx="10">
                  <c:v>120</c:v>
                </c:pt>
                <c:pt idx="11">
                  <c:v>160</c:v>
                </c:pt>
                <c:pt idx="12">
                  <c:v>195</c:v>
                </c:pt>
                <c:pt idx="13">
                  <c:v>175</c:v>
                </c:pt>
                <c:pt idx="14">
                  <c:v>120</c:v>
                </c:pt>
                <c:pt idx="15">
                  <c:v>112</c:v>
                </c:pt>
                <c:pt idx="16">
                  <c:v>190</c:v>
                </c:pt>
                <c:pt idx="17">
                  <c:v>155</c:v>
                </c:pt>
                <c:pt idx="18">
                  <c:v>155</c:v>
                </c:pt>
                <c:pt idx="19">
                  <c:v>122</c:v>
                </c:pt>
                <c:pt idx="20">
                  <c:v>140</c:v>
                </c:pt>
                <c:pt idx="21">
                  <c:v>155</c:v>
                </c:pt>
                <c:pt idx="22">
                  <c:v>160</c:v>
                </c:pt>
                <c:pt idx="23">
                  <c:v>130</c:v>
                </c:pt>
                <c:pt idx="24">
                  <c:v>190</c:v>
                </c:pt>
                <c:pt idx="25">
                  <c:v>175</c:v>
                </c:pt>
                <c:pt idx="26">
                  <c:v>130</c:v>
                </c:pt>
                <c:pt idx="27">
                  <c:v>125</c:v>
                </c:pt>
                <c:pt idx="28">
                  <c:v>115</c:v>
                </c:pt>
                <c:pt idx="29">
                  <c:v>190</c:v>
                </c:pt>
                <c:pt idx="30">
                  <c:v>145</c:v>
                </c:pt>
                <c:pt idx="31">
                  <c:v>180</c:v>
                </c:pt>
                <c:pt idx="32">
                  <c:v>125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142</c:v>
                </c:pt>
                <c:pt idx="37">
                  <c:v>155</c:v>
                </c:pt>
                <c:pt idx="38">
                  <c:v>150</c:v>
                </c:pt>
                <c:pt idx="39">
                  <c:v>110</c:v>
                </c:pt>
                <c:pt idx="40">
                  <c:v>170</c:v>
                </c:pt>
                <c:pt idx="41">
                  <c:v>170</c:v>
                </c:pt>
                <c:pt idx="42">
                  <c:v>185</c:v>
                </c:pt>
                <c:pt idx="43">
                  <c:v>130</c:v>
                </c:pt>
                <c:pt idx="44">
                  <c:v>150</c:v>
                </c:pt>
                <c:pt idx="45">
                  <c:v>190</c:v>
                </c:pt>
                <c:pt idx="46">
                  <c:v>135</c:v>
                </c:pt>
                <c:pt idx="47">
                  <c:v>170</c:v>
                </c:pt>
                <c:pt idx="48">
                  <c:v>155</c:v>
                </c:pt>
                <c:pt idx="49">
                  <c:v>140</c:v>
                </c:pt>
                <c:pt idx="50">
                  <c:v>118</c:v>
                </c:pt>
                <c:pt idx="51">
                  <c:v>110</c:v>
                </c:pt>
                <c:pt idx="52">
                  <c:v>165</c:v>
                </c:pt>
                <c:pt idx="53">
                  <c:v>157</c:v>
                </c:pt>
                <c:pt idx="54">
                  <c:v>155</c:v>
                </c:pt>
                <c:pt idx="55">
                  <c:v>155</c:v>
                </c:pt>
                <c:pt idx="56">
                  <c:v>123</c:v>
                </c:pt>
                <c:pt idx="57">
                  <c:v>138</c:v>
                </c:pt>
                <c:pt idx="58">
                  <c:v>215</c:v>
                </c:pt>
                <c:pt idx="59">
                  <c:v>148</c:v>
                </c:pt>
                <c:pt idx="60">
                  <c:v>108</c:v>
                </c:pt>
                <c:pt idx="61">
                  <c:v>108</c:v>
                </c:pt>
                <c:pt idx="62">
                  <c:v>130</c:v>
                </c:pt>
                <c:pt idx="63">
                  <c:v>145</c:v>
                </c:pt>
                <c:pt idx="64">
                  <c:v>180</c:v>
                </c:pt>
                <c:pt idx="65">
                  <c:v>115</c:v>
                </c:pt>
                <c:pt idx="66">
                  <c:v>133</c:v>
                </c:pt>
                <c:pt idx="67">
                  <c:v>155</c:v>
                </c:pt>
                <c:pt idx="68">
                  <c:v>125</c:v>
                </c:pt>
                <c:pt idx="69">
                  <c:v>102</c:v>
                </c:pt>
                <c:pt idx="70">
                  <c:v>138</c:v>
                </c:pt>
                <c:pt idx="71">
                  <c:v>180</c:v>
                </c:pt>
                <c:pt idx="72">
                  <c:v>116</c:v>
                </c:pt>
                <c:pt idx="73">
                  <c:v>150</c:v>
                </c:pt>
                <c:pt idx="74">
                  <c:v>136</c:v>
                </c:pt>
                <c:pt idx="75">
                  <c:v>130</c:v>
                </c:pt>
                <c:pt idx="76">
                  <c:v>118</c:v>
                </c:pt>
                <c:pt idx="77">
                  <c:v>150</c:v>
                </c:pt>
                <c:pt idx="78">
                  <c:v>95</c:v>
                </c:pt>
                <c:pt idx="79">
                  <c:v>150</c:v>
                </c:pt>
                <c:pt idx="80">
                  <c:v>155</c:v>
                </c:pt>
                <c:pt idx="81">
                  <c:v>135</c:v>
                </c:pt>
                <c:pt idx="82">
                  <c:v>160</c:v>
                </c:pt>
                <c:pt idx="83">
                  <c:v>140</c:v>
                </c:pt>
                <c:pt idx="84">
                  <c:v>145</c:v>
                </c:pt>
                <c:pt idx="85">
                  <c:v>125</c:v>
                </c:pt>
                <c:pt idx="86">
                  <c:v>153</c:v>
                </c:pt>
                <c:pt idx="87">
                  <c:v>150</c:v>
                </c:pt>
                <c:pt idx="88">
                  <c:v>131</c:v>
                </c:pt>
                <c:pt idx="89">
                  <c:v>140</c:v>
                </c:pt>
                <c:pt idx="90">
                  <c:v>116</c:v>
                </c:pt>
                <c:pt idx="91">
                  <c:v>121</c:v>
                </c:pt>
              </c:numCache>
            </c:numRef>
          </c:xVal>
          <c:yVal>
            <c:numRef>
              <c:f>'2Male|Wt'!$B$3:$B$94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'2Male|Wt'!$Q$10</c:f>
              <c:strCache>
                <c:ptCount val="1"/>
                <c:pt idx="0">
                  <c:v>Q-Axis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'2Male|Wt'!$Q$11:$Q$51</c:f>
              <c:numCache>
                <c:formatCode>0</c:formatCode>
                <c:ptCount val="41"/>
                <c:pt idx="0">
                  <c:v>94</c:v>
                </c:pt>
                <c:pt idx="1">
                  <c:v>96</c:v>
                </c:pt>
                <c:pt idx="2">
                  <c:v>98</c:v>
                </c:pt>
                <c:pt idx="3">
                  <c:v>100</c:v>
                </c:pt>
                <c:pt idx="4">
                  <c:v>102</c:v>
                </c:pt>
                <c:pt idx="5">
                  <c:v>104</c:v>
                </c:pt>
                <c:pt idx="6">
                  <c:v>106</c:v>
                </c:pt>
                <c:pt idx="7">
                  <c:v>108</c:v>
                </c:pt>
                <c:pt idx="8">
                  <c:v>110</c:v>
                </c:pt>
                <c:pt idx="9">
                  <c:v>112</c:v>
                </c:pt>
                <c:pt idx="10">
                  <c:v>114</c:v>
                </c:pt>
                <c:pt idx="11">
                  <c:v>116</c:v>
                </c:pt>
                <c:pt idx="12">
                  <c:v>118</c:v>
                </c:pt>
                <c:pt idx="13">
                  <c:v>120</c:v>
                </c:pt>
                <c:pt idx="14">
                  <c:v>122</c:v>
                </c:pt>
                <c:pt idx="15">
                  <c:v>124</c:v>
                </c:pt>
                <c:pt idx="16">
                  <c:v>126</c:v>
                </c:pt>
                <c:pt idx="17">
                  <c:v>128</c:v>
                </c:pt>
                <c:pt idx="18">
                  <c:v>130</c:v>
                </c:pt>
                <c:pt idx="19">
                  <c:v>132</c:v>
                </c:pt>
                <c:pt idx="20">
                  <c:v>134</c:v>
                </c:pt>
                <c:pt idx="21">
                  <c:v>136</c:v>
                </c:pt>
                <c:pt idx="22">
                  <c:v>138</c:v>
                </c:pt>
                <c:pt idx="23">
                  <c:v>140</c:v>
                </c:pt>
                <c:pt idx="24">
                  <c:v>142</c:v>
                </c:pt>
                <c:pt idx="25">
                  <c:v>144</c:v>
                </c:pt>
                <c:pt idx="26">
                  <c:v>146</c:v>
                </c:pt>
                <c:pt idx="27">
                  <c:v>148</c:v>
                </c:pt>
                <c:pt idx="28">
                  <c:v>150</c:v>
                </c:pt>
                <c:pt idx="29">
                  <c:v>152</c:v>
                </c:pt>
                <c:pt idx="30">
                  <c:v>154</c:v>
                </c:pt>
                <c:pt idx="31">
                  <c:v>156</c:v>
                </c:pt>
                <c:pt idx="32">
                  <c:v>158</c:v>
                </c:pt>
                <c:pt idx="33">
                  <c:v>160</c:v>
                </c:pt>
                <c:pt idx="34">
                  <c:v>162</c:v>
                </c:pt>
                <c:pt idx="35">
                  <c:v>164</c:v>
                </c:pt>
                <c:pt idx="36">
                  <c:v>166</c:v>
                </c:pt>
                <c:pt idx="37">
                  <c:v>168</c:v>
                </c:pt>
                <c:pt idx="38">
                  <c:v>170</c:v>
                </c:pt>
                <c:pt idx="39">
                  <c:v>172</c:v>
                </c:pt>
                <c:pt idx="40">
                  <c:v>174</c:v>
                </c:pt>
              </c:numCache>
            </c:numRef>
          </c:xVal>
          <c:yVal>
            <c:numRef>
              <c:f>'2Male|Wt'!$T$11:$T$51</c:f>
              <c:numCache>
                <c:formatCode>0%</c:formatCode>
                <c:ptCount val="41"/>
                <c:pt idx="0">
                  <c:v>1.2822209789156544E-3</c:v>
                </c:pt>
                <c:pt idx="1">
                  <c:v>1.756848463058535E-3</c:v>
                </c:pt>
                <c:pt idx="2">
                  <c:v>2.4067408873330201E-3</c:v>
                </c:pt>
                <c:pt idx="3">
                  <c:v>3.2962473239872268E-3</c:v>
                </c:pt>
                <c:pt idx="4">
                  <c:v>4.5130188566968096E-3</c:v>
                </c:pt>
                <c:pt idx="5">
                  <c:v>6.1761642693958551E-3</c:v>
                </c:pt>
                <c:pt idx="6">
                  <c:v>8.4470141789268188E-3</c:v>
                </c:pt>
                <c:pt idx="7">
                  <c:v>1.1543111623946762E-2</c:v>
                </c:pt>
                <c:pt idx="8">
                  <c:v>1.5755994055972229E-2</c:v>
                </c:pt>
                <c:pt idx="9">
                  <c:v>2.1473047684369858E-2</c:v>
                </c:pt>
                <c:pt idx="10">
                  <c:v>2.9202981720005343E-2</c:v>
                </c:pt>
                <c:pt idx="11">
                  <c:v>3.9602942059722861E-2</c:v>
                </c:pt>
                <c:pt idx="12">
                  <c:v>5.3502487348431382E-2</c:v>
                </c:pt>
                <c:pt idx="13">
                  <c:v>7.1915097019621857E-2</c:v>
                </c:pt>
                <c:pt idx="14">
                  <c:v>9.6021468934284038E-2</c:v>
                </c:pt>
                <c:pt idx="15">
                  <c:v>0.12710179811737154</c:v>
                </c:pt>
                <c:pt idx="16">
                  <c:v>0.16639052900040505</c:v>
                </c:pt>
                <c:pt idx="17">
                  <c:v>0.21483489305581913</c:v>
                </c:pt>
                <c:pt idx="18">
                  <c:v>0.27276857402269261</c:v>
                </c:pt>
                <c:pt idx="19">
                  <c:v>0.33956847162399084</c:v>
                </c:pt>
                <c:pt idx="20">
                  <c:v>0.41342736913169387</c:v>
                </c:pt>
                <c:pt idx="21">
                  <c:v>0.49139798518239636</c:v>
                </c:pt>
                <c:pt idx="22">
                  <c:v>0.56978934520163682</c:v>
                </c:pt>
                <c:pt idx="23">
                  <c:v>0.64483109122333993</c:v>
                </c:pt>
                <c:pt idx="24">
                  <c:v>0.7133679740569483</c:v>
                </c:pt>
                <c:pt idx="25">
                  <c:v>0.77332836447609432</c:v>
                </c:pt>
                <c:pt idx="26">
                  <c:v>0.82384302594322945</c:v>
                </c:pt>
                <c:pt idx="27">
                  <c:v>0.86506456107116803</c:v>
                </c:pt>
                <c:pt idx="28">
                  <c:v>0.89783626074536926</c:v>
                </c:pt>
                <c:pt idx="29">
                  <c:v>0.9233539165173098</c:v>
                </c:pt>
                <c:pt idx="30">
                  <c:v>0.94290329341114221</c:v>
                </c:pt>
                <c:pt idx="31">
                  <c:v>0.95769485449419023</c:v>
                </c:pt>
                <c:pt idx="32">
                  <c:v>0.96878136230253087</c:v>
                </c:pt>
                <c:pt idx="33">
                  <c:v>0.97703221110111449</c:v>
                </c:pt>
                <c:pt idx="34">
                  <c:v>0.98314037268941634</c:v>
                </c:pt>
                <c:pt idx="35">
                  <c:v>0.98764464337519398</c:v>
                </c:pt>
                <c:pt idx="36">
                  <c:v>0.9909566082520801</c:v>
                </c:pt>
                <c:pt idx="37">
                  <c:v>0.99338671578297288</c:v>
                </c:pt>
                <c:pt idx="38">
                  <c:v>0.99516699840342882</c:v>
                </c:pt>
                <c:pt idx="39">
                  <c:v>0.99646973571116193</c:v>
                </c:pt>
                <c:pt idx="40">
                  <c:v>0.99742222930072977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244896"/>
        <c:axId val="138245288"/>
      </c:scatterChart>
      <c:valAx>
        <c:axId val="138244896"/>
        <c:scaling>
          <c:orientation val="minMax"/>
          <c:max val="215"/>
          <c:min val="9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Weight (pounds)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45288"/>
        <c:crosses val="autoZero"/>
        <c:crossBetween val="midCat"/>
        <c:majorUnit val="25"/>
      </c:valAx>
      <c:valAx>
        <c:axId val="13824528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4489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Weight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'2Male|Wt'!$B$2</c:f>
              <c:strCache>
                <c:ptCount val="1"/>
                <c:pt idx="0">
                  <c:v>Male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'2Male|Wt'!$A$3:$A$94</c:f>
              <c:numCache>
                <c:formatCode>General</c:formatCode>
                <c:ptCount val="92"/>
                <c:pt idx="0">
                  <c:v>150</c:v>
                </c:pt>
                <c:pt idx="1">
                  <c:v>145</c:v>
                </c:pt>
                <c:pt idx="2">
                  <c:v>160</c:v>
                </c:pt>
                <c:pt idx="3">
                  <c:v>145</c:v>
                </c:pt>
                <c:pt idx="4">
                  <c:v>135</c:v>
                </c:pt>
                <c:pt idx="5">
                  <c:v>125</c:v>
                </c:pt>
                <c:pt idx="6">
                  <c:v>170</c:v>
                </c:pt>
                <c:pt idx="7">
                  <c:v>155</c:v>
                </c:pt>
                <c:pt idx="8">
                  <c:v>164</c:v>
                </c:pt>
                <c:pt idx="9">
                  <c:v>120</c:v>
                </c:pt>
                <c:pt idx="10">
                  <c:v>120</c:v>
                </c:pt>
                <c:pt idx="11">
                  <c:v>160</c:v>
                </c:pt>
                <c:pt idx="12">
                  <c:v>195</c:v>
                </c:pt>
                <c:pt idx="13">
                  <c:v>175</c:v>
                </c:pt>
                <c:pt idx="14">
                  <c:v>120</c:v>
                </c:pt>
                <c:pt idx="15">
                  <c:v>112</c:v>
                </c:pt>
                <c:pt idx="16">
                  <c:v>190</c:v>
                </c:pt>
                <c:pt idx="17">
                  <c:v>155</c:v>
                </c:pt>
                <c:pt idx="18">
                  <c:v>155</c:v>
                </c:pt>
                <c:pt idx="19">
                  <c:v>122</c:v>
                </c:pt>
                <c:pt idx="20">
                  <c:v>140</c:v>
                </c:pt>
                <c:pt idx="21">
                  <c:v>155</c:v>
                </c:pt>
                <c:pt idx="22">
                  <c:v>160</c:v>
                </c:pt>
                <c:pt idx="23">
                  <c:v>130</c:v>
                </c:pt>
                <c:pt idx="24">
                  <c:v>190</c:v>
                </c:pt>
                <c:pt idx="25">
                  <c:v>175</c:v>
                </c:pt>
                <c:pt idx="26">
                  <c:v>130</c:v>
                </c:pt>
                <c:pt idx="27">
                  <c:v>125</c:v>
                </c:pt>
                <c:pt idx="28">
                  <c:v>115</c:v>
                </c:pt>
                <c:pt idx="29">
                  <c:v>190</c:v>
                </c:pt>
                <c:pt idx="30">
                  <c:v>145</c:v>
                </c:pt>
                <c:pt idx="31">
                  <c:v>180</c:v>
                </c:pt>
                <c:pt idx="32">
                  <c:v>125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142</c:v>
                </c:pt>
                <c:pt idx="37">
                  <c:v>155</c:v>
                </c:pt>
                <c:pt idx="38">
                  <c:v>150</c:v>
                </c:pt>
                <c:pt idx="39">
                  <c:v>110</c:v>
                </c:pt>
                <c:pt idx="40">
                  <c:v>170</c:v>
                </c:pt>
                <c:pt idx="41">
                  <c:v>170</c:v>
                </c:pt>
                <c:pt idx="42">
                  <c:v>185</c:v>
                </c:pt>
                <c:pt idx="43">
                  <c:v>130</c:v>
                </c:pt>
                <c:pt idx="44">
                  <c:v>150</c:v>
                </c:pt>
                <c:pt idx="45">
                  <c:v>190</c:v>
                </c:pt>
                <c:pt idx="46">
                  <c:v>135</c:v>
                </c:pt>
                <c:pt idx="47">
                  <c:v>170</c:v>
                </c:pt>
                <c:pt idx="48">
                  <c:v>155</c:v>
                </c:pt>
                <c:pt idx="49">
                  <c:v>140</c:v>
                </c:pt>
                <c:pt idx="50">
                  <c:v>118</c:v>
                </c:pt>
                <c:pt idx="51">
                  <c:v>110</c:v>
                </c:pt>
                <c:pt idx="52">
                  <c:v>165</c:v>
                </c:pt>
                <c:pt idx="53">
                  <c:v>157</c:v>
                </c:pt>
                <c:pt idx="54">
                  <c:v>155</c:v>
                </c:pt>
                <c:pt idx="55">
                  <c:v>155</c:v>
                </c:pt>
                <c:pt idx="56">
                  <c:v>123</c:v>
                </c:pt>
                <c:pt idx="57">
                  <c:v>138</c:v>
                </c:pt>
                <c:pt idx="58">
                  <c:v>215</c:v>
                </c:pt>
                <c:pt idx="59">
                  <c:v>148</c:v>
                </c:pt>
                <c:pt idx="60">
                  <c:v>108</c:v>
                </c:pt>
                <c:pt idx="61">
                  <c:v>108</c:v>
                </c:pt>
                <c:pt idx="62">
                  <c:v>130</c:v>
                </c:pt>
                <c:pt idx="63">
                  <c:v>145</c:v>
                </c:pt>
                <c:pt idx="64">
                  <c:v>180</c:v>
                </c:pt>
                <c:pt idx="65">
                  <c:v>115</c:v>
                </c:pt>
                <c:pt idx="66">
                  <c:v>133</c:v>
                </c:pt>
                <c:pt idx="67">
                  <c:v>155</c:v>
                </c:pt>
                <c:pt idx="68">
                  <c:v>125</c:v>
                </c:pt>
                <c:pt idx="69">
                  <c:v>102</c:v>
                </c:pt>
                <c:pt idx="70">
                  <c:v>138</c:v>
                </c:pt>
                <c:pt idx="71">
                  <c:v>180</c:v>
                </c:pt>
                <c:pt idx="72">
                  <c:v>116</c:v>
                </c:pt>
                <c:pt idx="73">
                  <c:v>150</c:v>
                </c:pt>
                <c:pt idx="74">
                  <c:v>136</c:v>
                </c:pt>
                <c:pt idx="75">
                  <c:v>130</c:v>
                </c:pt>
                <c:pt idx="76">
                  <c:v>118</c:v>
                </c:pt>
                <c:pt idx="77">
                  <c:v>150</c:v>
                </c:pt>
                <c:pt idx="78">
                  <c:v>95</c:v>
                </c:pt>
                <c:pt idx="79">
                  <c:v>150</c:v>
                </c:pt>
                <c:pt idx="80">
                  <c:v>155</c:v>
                </c:pt>
                <c:pt idx="81">
                  <c:v>135</c:v>
                </c:pt>
                <c:pt idx="82">
                  <c:v>160</c:v>
                </c:pt>
                <c:pt idx="83">
                  <c:v>140</c:v>
                </c:pt>
                <c:pt idx="84">
                  <c:v>145</c:v>
                </c:pt>
                <c:pt idx="85">
                  <c:v>125</c:v>
                </c:pt>
                <c:pt idx="86">
                  <c:v>153</c:v>
                </c:pt>
                <c:pt idx="87">
                  <c:v>150</c:v>
                </c:pt>
                <c:pt idx="88">
                  <c:v>131</c:v>
                </c:pt>
                <c:pt idx="89">
                  <c:v>140</c:v>
                </c:pt>
                <c:pt idx="90">
                  <c:v>116</c:v>
                </c:pt>
                <c:pt idx="91">
                  <c:v>121</c:v>
                </c:pt>
              </c:numCache>
            </c:numRef>
          </c:xVal>
          <c:yVal>
            <c:numRef>
              <c:f>'2Male|Wt'!$B$3:$B$94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'2Male|Wt'!$V$10</c:f>
              <c:strCache>
                <c:ptCount val="1"/>
                <c:pt idx="0">
                  <c:v>pY OLS2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'2Male|Wt'!$Q$11:$Q$51</c:f>
              <c:numCache>
                <c:formatCode>0</c:formatCode>
                <c:ptCount val="41"/>
                <c:pt idx="0">
                  <c:v>94</c:v>
                </c:pt>
                <c:pt idx="1">
                  <c:v>96</c:v>
                </c:pt>
                <c:pt idx="2">
                  <c:v>98</c:v>
                </c:pt>
                <c:pt idx="3">
                  <c:v>100</c:v>
                </c:pt>
                <c:pt idx="4">
                  <c:v>102</c:v>
                </c:pt>
                <c:pt idx="5">
                  <c:v>104</c:v>
                </c:pt>
                <c:pt idx="6">
                  <c:v>106</c:v>
                </c:pt>
                <c:pt idx="7">
                  <c:v>108</c:v>
                </c:pt>
                <c:pt idx="8">
                  <c:v>110</c:v>
                </c:pt>
                <c:pt idx="9">
                  <c:v>112</c:v>
                </c:pt>
                <c:pt idx="10">
                  <c:v>114</c:v>
                </c:pt>
                <c:pt idx="11">
                  <c:v>116</c:v>
                </c:pt>
                <c:pt idx="12">
                  <c:v>118</c:v>
                </c:pt>
                <c:pt idx="13">
                  <c:v>120</c:v>
                </c:pt>
                <c:pt idx="14">
                  <c:v>122</c:v>
                </c:pt>
                <c:pt idx="15">
                  <c:v>124</c:v>
                </c:pt>
                <c:pt idx="16">
                  <c:v>126</c:v>
                </c:pt>
                <c:pt idx="17">
                  <c:v>128</c:v>
                </c:pt>
                <c:pt idx="18">
                  <c:v>130</c:v>
                </c:pt>
                <c:pt idx="19">
                  <c:v>132</c:v>
                </c:pt>
                <c:pt idx="20">
                  <c:v>134</c:v>
                </c:pt>
                <c:pt idx="21">
                  <c:v>136</c:v>
                </c:pt>
                <c:pt idx="22">
                  <c:v>138</c:v>
                </c:pt>
                <c:pt idx="23">
                  <c:v>140</c:v>
                </c:pt>
                <c:pt idx="24">
                  <c:v>142</c:v>
                </c:pt>
                <c:pt idx="25">
                  <c:v>144</c:v>
                </c:pt>
                <c:pt idx="26">
                  <c:v>146</c:v>
                </c:pt>
                <c:pt idx="27">
                  <c:v>148</c:v>
                </c:pt>
                <c:pt idx="28">
                  <c:v>150</c:v>
                </c:pt>
                <c:pt idx="29">
                  <c:v>152</c:v>
                </c:pt>
                <c:pt idx="30">
                  <c:v>154</c:v>
                </c:pt>
                <c:pt idx="31">
                  <c:v>156</c:v>
                </c:pt>
                <c:pt idx="32">
                  <c:v>158</c:v>
                </c:pt>
                <c:pt idx="33">
                  <c:v>160</c:v>
                </c:pt>
                <c:pt idx="34">
                  <c:v>162</c:v>
                </c:pt>
                <c:pt idx="35">
                  <c:v>164</c:v>
                </c:pt>
                <c:pt idx="36">
                  <c:v>166</c:v>
                </c:pt>
                <c:pt idx="37">
                  <c:v>168</c:v>
                </c:pt>
                <c:pt idx="38">
                  <c:v>170</c:v>
                </c:pt>
                <c:pt idx="39">
                  <c:v>172</c:v>
                </c:pt>
                <c:pt idx="40">
                  <c:v>174</c:v>
                </c:pt>
              </c:numCache>
            </c:numRef>
          </c:xVal>
          <c:yVal>
            <c:numRef>
              <c:f>'2Male|Wt'!$V$11:$V$51</c:f>
              <c:numCache>
                <c:formatCode>0.00</c:formatCode>
                <c:ptCount val="41"/>
                <c:pt idx="0">
                  <c:v>-0.86469150885766577</c:v>
                </c:pt>
                <c:pt idx="1">
                  <c:v>-0.80665852168601038</c:v>
                </c:pt>
                <c:pt idx="2">
                  <c:v>-0.74862553451435476</c:v>
                </c:pt>
                <c:pt idx="3">
                  <c:v>-0.69059254734269937</c:v>
                </c:pt>
                <c:pt idx="4">
                  <c:v>-0.63255956017104398</c:v>
                </c:pt>
                <c:pt idx="5">
                  <c:v>-0.57452657299938859</c:v>
                </c:pt>
                <c:pt idx="6">
                  <c:v>-0.51649358582773297</c:v>
                </c:pt>
                <c:pt idx="7">
                  <c:v>-0.45846059865607758</c:v>
                </c:pt>
                <c:pt idx="8">
                  <c:v>-0.40042761148442219</c:v>
                </c:pt>
                <c:pt idx="9">
                  <c:v>-0.34239462431276668</c:v>
                </c:pt>
                <c:pt idx="10">
                  <c:v>-0.28436163714111129</c:v>
                </c:pt>
                <c:pt idx="11">
                  <c:v>-0.22632864996945579</c:v>
                </c:pt>
                <c:pt idx="12">
                  <c:v>-0.16829566279780039</c:v>
                </c:pt>
                <c:pt idx="13">
                  <c:v>-0.11026267562614489</c:v>
                </c:pt>
                <c:pt idx="14">
                  <c:v>-5.2229688454489498E-2</c:v>
                </c:pt>
                <c:pt idx="15">
                  <c:v>5.8032987171660055E-3</c:v>
                </c:pt>
                <c:pt idx="16">
                  <c:v>6.3836285888821398E-2</c:v>
                </c:pt>
                <c:pt idx="17">
                  <c:v>0.1218692730604769</c:v>
                </c:pt>
                <c:pt idx="18">
                  <c:v>0.17990226023213235</c:v>
                </c:pt>
                <c:pt idx="19">
                  <c:v>0.2379352474037878</c:v>
                </c:pt>
                <c:pt idx="20">
                  <c:v>0.29596823457544325</c:v>
                </c:pt>
                <c:pt idx="21">
                  <c:v>0.35400122174709869</c:v>
                </c:pt>
                <c:pt idx="22">
                  <c:v>0.41203420891875409</c:v>
                </c:pt>
                <c:pt idx="23">
                  <c:v>0.47006719609040959</c:v>
                </c:pt>
                <c:pt idx="24">
                  <c:v>0.52810018326206498</c:v>
                </c:pt>
                <c:pt idx="25">
                  <c:v>0.58613317043372049</c:v>
                </c:pt>
                <c:pt idx="26">
                  <c:v>0.64416615760537588</c:v>
                </c:pt>
                <c:pt idx="27">
                  <c:v>0.70219914477703138</c:v>
                </c:pt>
                <c:pt idx="28">
                  <c:v>0.76023213194868677</c:v>
                </c:pt>
                <c:pt idx="29">
                  <c:v>0.81826511912034228</c:v>
                </c:pt>
                <c:pt idx="30">
                  <c:v>0.87629810629199767</c:v>
                </c:pt>
                <c:pt idx="31">
                  <c:v>0.93433109346365317</c:v>
                </c:pt>
                <c:pt idx="32">
                  <c:v>0.99236408063530868</c:v>
                </c:pt>
                <c:pt idx="33">
                  <c:v>1.0503970678069641</c:v>
                </c:pt>
                <c:pt idx="34">
                  <c:v>1.1084300549786195</c:v>
                </c:pt>
                <c:pt idx="35">
                  <c:v>1.1664630421502751</c:v>
                </c:pt>
                <c:pt idx="36">
                  <c:v>1.2244960293219305</c:v>
                </c:pt>
                <c:pt idx="37">
                  <c:v>1.2825290164935859</c:v>
                </c:pt>
                <c:pt idx="38">
                  <c:v>1.3405620036652413</c:v>
                </c:pt>
                <c:pt idx="39">
                  <c:v>1.3985949908368966</c:v>
                </c:pt>
                <c:pt idx="40">
                  <c:v>1.456627978008552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238624"/>
        <c:axId val="373618792"/>
      </c:scatterChart>
      <c:valAx>
        <c:axId val="138238624"/>
        <c:scaling>
          <c:orientation val="minMax"/>
          <c:max val="170"/>
          <c:min val="1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Weight (pounds)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18792"/>
        <c:crosses val="autoZero"/>
        <c:crossBetween val="midCat"/>
        <c:majorUnit val="10"/>
      </c:valAx>
      <c:valAx>
        <c:axId val="3736187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3862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Gender by Rest Pulse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79073002310043"/>
          <c:y val="0.18348388743073782"/>
          <c:w val="0.81087498447552098"/>
          <c:h val="0.596693642461359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'3Male|P1'!$B$2</c:f>
              <c:strCache>
                <c:ptCount val="1"/>
                <c:pt idx="0">
                  <c:v>Male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dash"/>
              </a:ln>
              <a:effectLst/>
            </c:spPr>
            <c:trendlineType val="linear"/>
            <c:forward val="20"/>
            <c:backward val="6"/>
            <c:dispRSqr val="1"/>
            <c:dispEq val="1"/>
            <c:trendlineLbl>
              <c:layout>
                <c:manualLayout>
                  <c:x val="-6.9506415864683578E-3"/>
                  <c:y val="-0.331751603966170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'3Male|P1'!$A$3:$A$94</c:f>
              <c:numCache>
                <c:formatCode>General</c:formatCode>
                <c:ptCount val="92"/>
                <c:pt idx="0">
                  <c:v>48</c:v>
                </c:pt>
                <c:pt idx="1">
                  <c:v>54</c:v>
                </c:pt>
                <c:pt idx="2">
                  <c:v>54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61</c:v>
                </c:pt>
                <c:pt idx="11">
                  <c:v>62</c:v>
                </c:pt>
                <c:pt idx="12">
                  <c:v>62</c:v>
                </c:pt>
                <c:pt idx="13">
                  <c:v>62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66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72</c:v>
                </c:pt>
                <c:pt idx="47">
                  <c:v>72</c:v>
                </c:pt>
                <c:pt idx="48">
                  <c:v>72</c:v>
                </c:pt>
                <c:pt idx="49">
                  <c:v>72</c:v>
                </c:pt>
                <c:pt idx="50">
                  <c:v>72</c:v>
                </c:pt>
                <c:pt idx="51">
                  <c:v>72</c:v>
                </c:pt>
                <c:pt idx="52">
                  <c:v>74</c:v>
                </c:pt>
                <c:pt idx="53">
                  <c:v>74</c:v>
                </c:pt>
                <c:pt idx="54">
                  <c:v>74</c:v>
                </c:pt>
                <c:pt idx="55">
                  <c:v>74</c:v>
                </c:pt>
                <c:pt idx="56">
                  <c:v>74</c:v>
                </c:pt>
                <c:pt idx="57">
                  <c:v>76</c:v>
                </c:pt>
                <c:pt idx="58">
                  <c:v>76</c:v>
                </c:pt>
                <c:pt idx="59">
                  <c:v>76</c:v>
                </c:pt>
                <c:pt idx="60">
                  <c:v>76</c:v>
                </c:pt>
                <c:pt idx="61">
                  <c:v>76</c:v>
                </c:pt>
                <c:pt idx="62">
                  <c:v>78</c:v>
                </c:pt>
                <c:pt idx="63">
                  <c:v>78</c:v>
                </c:pt>
                <c:pt idx="64">
                  <c:v>78</c:v>
                </c:pt>
                <c:pt idx="65">
                  <c:v>78</c:v>
                </c:pt>
                <c:pt idx="66">
                  <c:v>78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82</c:v>
                </c:pt>
                <c:pt idx="71">
                  <c:v>82</c:v>
                </c:pt>
                <c:pt idx="72">
                  <c:v>82</c:v>
                </c:pt>
                <c:pt idx="73">
                  <c:v>84</c:v>
                </c:pt>
                <c:pt idx="74">
                  <c:v>84</c:v>
                </c:pt>
                <c:pt idx="75">
                  <c:v>84</c:v>
                </c:pt>
                <c:pt idx="76">
                  <c:v>84</c:v>
                </c:pt>
                <c:pt idx="77">
                  <c:v>86</c:v>
                </c:pt>
                <c:pt idx="78">
                  <c:v>87</c:v>
                </c:pt>
                <c:pt idx="79">
                  <c:v>88</c:v>
                </c:pt>
                <c:pt idx="80">
                  <c:v>88</c:v>
                </c:pt>
                <c:pt idx="81">
                  <c:v>88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92</c:v>
                </c:pt>
                <c:pt idx="87">
                  <c:v>92</c:v>
                </c:pt>
                <c:pt idx="88">
                  <c:v>94</c:v>
                </c:pt>
                <c:pt idx="89">
                  <c:v>96</c:v>
                </c:pt>
                <c:pt idx="90">
                  <c:v>96</c:v>
                </c:pt>
                <c:pt idx="91">
                  <c:v>100</c:v>
                </c:pt>
              </c:numCache>
            </c:numRef>
          </c:xVal>
          <c:yVal>
            <c:numRef>
              <c:f>'3Male|P1'!$B$3:$B$94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'3Male|P1'!$T$10</c:f>
              <c:strCache>
                <c:ptCount val="1"/>
                <c:pt idx="0">
                  <c:v>Prob Y=1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'3Male|P1'!$Q$11:$Q$51</c:f>
              <c:numCache>
                <c:formatCode>0</c:formatCode>
                <c:ptCount val="41"/>
                <c:pt idx="0">
                  <c:v>40</c:v>
                </c:pt>
                <c:pt idx="1">
                  <c:v>42</c:v>
                </c:pt>
                <c:pt idx="2">
                  <c:v>44</c:v>
                </c:pt>
                <c:pt idx="3">
                  <c:v>46</c:v>
                </c:pt>
                <c:pt idx="4">
                  <c:v>48</c:v>
                </c:pt>
                <c:pt idx="5">
                  <c:v>50</c:v>
                </c:pt>
                <c:pt idx="6">
                  <c:v>52</c:v>
                </c:pt>
                <c:pt idx="7">
                  <c:v>54</c:v>
                </c:pt>
                <c:pt idx="8">
                  <c:v>56</c:v>
                </c:pt>
                <c:pt idx="9">
                  <c:v>58</c:v>
                </c:pt>
                <c:pt idx="10">
                  <c:v>60</c:v>
                </c:pt>
                <c:pt idx="11">
                  <c:v>62</c:v>
                </c:pt>
                <c:pt idx="12">
                  <c:v>64</c:v>
                </c:pt>
                <c:pt idx="13">
                  <c:v>66</c:v>
                </c:pt>
                <c:pt idx="14">
                  <c:v>68</c:v>
                </c:pt>
                <c:pt idx="15">
                  <c:v>70</c:v>
                </c:pt>
                <c:pt idx="16">
                  <c:v>72</c:v>
                </c:pt>
                <c:pt idx="17">
                  <c:v>74</c:v>
                </c:pt>
                <c:pt idx="18">
                  <c:v>76</c:v>
                </c:pt>
                <c:pt idx="19">
                  <c:v>78</c:v>
                </c:pt>
                <c:pt idx="20">
                  <c:v>80</c:v>
                </c:pt>
                <c:pt idx="21">
                  <c:v>82</c:v>
                </c:pt>
                <c:pt idx="22">
                  <c:v>84</c:v>
                </c:pt>
                <c:pt idx="23">
                  <c:v>86</c:v>
                </c:pt>
                <c:pt idx="24">
                  <c:v>88</c:v>
                </c:pt>
                <c:pt idx="25">
                  <c:v>90</c:v>
                </c:pt>
                <c:pt idx="26">
                  <c:v>92</c:v>
                </c:pt>
                <c:pt idx="27">
                  <c:v>94</c:v>
                </c:pt>
                <c:pt idx="28">
                  <c:v>96</c:v>
                </c:pt>
                <c:pt idx="29">
                  <c:v>98</c:v>
                </c:pt>
                <c:pt idx="30">
                  <c:v>100</c:v>
                </c:pt>
                <c:pt idx="31">
                  <c:v>102</c:v>
                </c:pt>
                <c:pt idx="32">
                  <c:v>104</c:v>
                </c:pt>
                <c:pt idx="33">
                  <c:v>106</c:v>
                </c:pt>
                <c:pt idx="34">
                  <c:v>108</c:v>
                </c:pt>
                <c:pt idx="35">
                  <c:v>110</c:v>
                </c:pt>
                <c:pt idx="36">
                  <c:v>112</c:v>
                </c:pt>
                <c:pt idx="37">
                  <c:v>114</c:v>
                </c:pt>
                <c:pt idx="38">
                  <c:v>116</c:v>
                </c:pt>
                <c:pt idx="39">
                  <c:v>118</c:v>
                </c:pt>
                <c:pt idx="40">
                  <c:v>120</c:v>
                </c:pt>
              </c:numCache>
            </c:numRef>
          </c:xVal>
          <c:yVal>
            <c:numRef>
              <c:f>'3Male|P1'!$T$11:$T$51</c:f>
              <c:numCache>
                <c:formatCode>0%</c:formatCode>
                <c:ptCount val="41"/>
                <c:pt idx="0">
                  <c:v>0.91442459631528994</c:v>
                </c:pt>
                <c:pt idx="1">
                  <c:v>0.90522518136571273</c:v>
                </c:pt>
                <c:pt idx="2">
                  <c:v>0.89515021722737753</c:v>
                </c:pt>
                <c:pt idx="3">
                  <c:v>0.8841413192292561</c:v>
                </c:pt>
                <c:pt idx="4">
                  <c:v>0.87214162391963779</c:v>
                </c:pt>
                <c:pt idx="5">
                  <c:v>0.8590971642244164</c:v>
                </c:pt>
                <c:pt idx="6">
                  <c:v>0.84495845652466139</c:v>
                </c:pt>
                <c:pt idx="7">
                  <c:v>0.82968228499944618</c:v>
                </c:pt>
                <c:pt idx="8">
                  <c:v>0.81323365280325244</c:v>
                </c:pt>
                <c:pt idx="9">
                  <c:v>0.79558785115507635</c:v>
                </c:pt>
                <c:pt idx="10">
                  <c:v>0.77673257707894616</c:v>
                </c:pt>
                <c:pt idx="11">
                  <c:v>0.75667000978972154</c:v>
                </c:pt>
                <c:pt idx="12">
                  <c:v>0.73541873658526213</c:v>
                </c:pt>
                <c:pt idx="13">
                  <c:v>0.71301540411138775</c:v>
                </c:pt>
                <c:pt idx="14">
                  <c:v>0.68951596282864869</c:v>
                </c:pt>
                <c:pt idx="15">
                  <c:v>0.66499637419379565</c:v>
                </c:pt>
                <c:pt idx="16">
                  <c:v>0.63955266371427089</c:v>
                </c:pt>
                <c:pt idx="17">
                  <c:v>0.61330022982947174</c:v>
                </c:pt>
                <c:pt idx="18">
                  <c:v>0.58637235816706357</c:v>
                </c:pt>
                <c:pt idx="19">
                  <c:v>0.55891794090448821</c:v>
                </c:pt>
                <c:pt idx="20">
                  <c:v>0.5310984576300517</c:v>
                </c:pt>
                <c:pt idx="21">
                  <c:v>0.50308433158325028</c:v>
                </c:pt>
                <c:pt idx="22">
                  <c:v>0.47505082695210693</c:v>
                </c:pt>
                <c:pt idx="23">
                  <c:v>0.44717369264598811</c:v>
                </c:pt>
                <c:pt idx="24">
                  <c:v>0.41962478048806734</c:v>
                </c:pt>
                <c:pt idx="25">
                  <c:v>0.39256786806629257</c:v>
                </c:pt>
                <c:pt idx="26">
                  <c:v>0.36615489823467046</c:v>
                </c:pt>
                <c:pt idx="27">
                  <c:v>0.34052281092111331</c:v>
                </c:pt>
                <c:pt idx="28">
                  <c:v>0.31579109323072452</c:v>
                </c:pt>
                <c:pt idx="29">
                  <c:v>0.29206011702864132</c:v>
                </c:pt>
                <c:pt idx="30">
                  <c:v>0.26941027581333765</c:v>
                </c:pt>
                <c:pt idx="31">
                  <c:v>0.24790188066973781</c:v>
                </c:pt>
                <c:pt idx="32">
                  <c:v>0.22757573291137215</c:v>
                </c:pt>
                <c:pt idx="33">
                  <c:v>0.20845426131938838</c:v>
                </c:pt>
                <c:pt idx="34">
                  <c:v>0.19054309540439099</c:v>
                </c:pt>
                <c:pt idx="35">
                  <c:v>0.1738329419667809</c:v>
                </c:pt>
                <c:pt idx="36">
                  <c:v>0.15830163835783745</c:v>
                </c:pt>
                <c:pt idx="37">
                  <c:v>0.14391626955487519</c:v>
                </c:pt>
                <c:pt idx="38">
                  <c:v>0.13063525461771916</c:v>
                </c:pt>
                <c:pt idx="39">
                  <c:v>0.11841032867790527</c:v>
                </c:pt>
                <c:pt idx="40">
                  <c:v>0.10718836718314273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621144"/>
        <c:axId val="373622712"/>
      </c:scatterChart>
      <c:valAx>
        <c:axId val="373621144"/>
        <c:scaling>
          <c:orientation val="minMax"/>
          <c:max val="12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Rest Pulse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(bpm)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22712"/>
        <c:crosses val="autoZero"/>
        <c:crossBetween val="midCat"/>
      </c:valAx>
      <c:valAx>
        <c:axId val="37362271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Probability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(Male)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3.1325301204819279E-2"/>
              <c:y val="0.301468088339127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21144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Rest Pulse</a:t>
            </a:r>
          </a:p>
        </c:rich>
      </c:tx>
      <c:layout>
        <c:manualLayout>
          <c:xMode val="edge"/>
          <c:yMode val="edge"/>
          <c:x val="0.34495935403907846"/>
          <c:y val="2.7972027972027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'3Male|P1'!$T$10</c:f>
              <c:strCache>
                <c:ptCount val="1"/>
                <c:pt idx="0">
                  <c:v>Prob Y=1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'3Male|P1'!$Q$11:$Q$51</c:f>
              <c:numCache>
                <c:formatCode>0</c:formatCode>
                <c:ptCount val="41"/>
                <c:pt idx="0">
                  <c:v>40</c:v>
                </c:pt>
                <c:pt idx="1">
                  <c:v>42</c:v>
                </c:pt>
                <c:pt idx="2">
                  <c:v>44</c:v>
                </c:pt>
                <c:pt idx="3">
                  <c:v>46</c:v>
                </c:pt>
                <c:pt idx="4">
                  <c:v>48</c:v>
                </c:pt>
                <c:pt idx="5">
                  <c:v>50</c:v>
                </c:pt>
                <c:pt idx="6">
                  <c:v>52</c:v>
                </c:pt>
                <c:pt idx="7">
                  <c:v>54</c:v>
                </c:pt>
                <c:pt idx="8">
                  <c:v>56</c:v>
                </c:pt>
                <c:pt idx="9">
                  <c:v>58</c:v>
                </c:pt>
                <c:pt idx="10">
                  <c:v>60</c:v>
                </c:pt>
                <c:pt idx="11">
                  <c:v>62</c:v>
                </c:pt>
                <c:pt idx="12">
                  <c:v>64</c:v>
                </c:pt>
                <c:pt idx="13">
                  <c:v>66</c:v>
                </c:pt>
                <c:pt idx="14">
                  <c:v>68</c:v>
                </c:pt>
                <c:pt idx="15">
                  <c:v>70</c:v>
                </c:pt>
                <c:pt idx="16">
                  <c:v>72</c:v>
                </c:pt>
                <c:pt idx="17">
                  <c:v>74</c:v>
                </c:pt>
                <c:pt idx="18">
                  <c:v>76</c:v>
                </c:pt>
                <c:pt idx="19">
                  <c:v>78</c:v>
                </c:pt>
                <c:pt idx="20">
                  <c:v>80</c:v>
                </c:pt>
                <c:pt idx="21">
                  <c:v>82</c:v>
                </c:pt>
                <c:pt idx="22">
                  <c:v>84</c:v>
                </c:pt>
                <c:pt idx="23">
                  <c:v>86</c:v>
                </c:pt>
                <c:pt idx="24">
                  <c:v>88</c:v>
                </c:pt>
                <c:pt idx="25">
                  <c:v>90</c:v>
                </c:pt>
                <c:pt idx="26">
                  <c:v>92</c:v>
                </c:pt>
                <c:pt idx="27">
                  <c:v>94</c:v>
                </c:pt>
                <c:pt idx="28">
                  <c:v>96</c:v>
                </c:pt>
                <c:pt idx="29">
                  <c:v>98</c:v>
                </c:pt>
                <c:pt idx="30">
                  <c:v>100</c:v>
                </c:pt>
                <c:pt idx="31">
                  <c:v>102</c:v>
                </c:pt>
                <c:pt idx="32">
                  <c:v>104</c:v>
                </c:pt>
                <c:pt idx="33">
                  <c:v>106</c:v>
                </c:pt>
                <c:pt idx="34">
                  <c:v>108</c:v>
                </c:pt>
                <c:pt idx="35">
                  <c:v>110</c:v>
                </c:pt>
                <c:pt idx="36">
                  <c:v>112</c:v>
                </c:pt>
                <c:pt idx="37">
                  <c:v>114</c:v>
                </c:pt>
                <c:pt idx="38">
                  <c:v>116</c:v>
                </c:pt>
                <c:pt idx="39">
                  <c:v>118</c:v>
                </c:pt>
                <c:pt idx="40">
                  <c:v>120</c:v>
                </c:pt>
              </c:numCache>
            </c:numRef>
          </c:xVal>
          <c:yVal>
            <c:numRef>
              <c:f>'3Male|P1'!$T$11:$T$51</c:f>
              <c:numCache>
                <c:formatCode>0%</c:formatCode>
                <c:ptCount val="41"/>
                <c:pt idx="0">
                  <c:v>0.91442459631528994</c:v>
                </c:pt>
                <c:pt idx="1">
                  <c:v>0.90522518136571273</c:v>
                </c:pt>
                <c:pt idx="2">
                  <c:v>0.89515021722737753</c:v>
                </c:pt>
                <c:pt idx="3">
                  <c:v>0.8841413192292561</c:v>
                </c:pt>
                <c:pt idx="4">
                  <c:v>0.87214162391963779</c:v>
                </c:pt>
                <c:pt idx="5">
                  <c:v>0.8590971642244164</c:v>
                </c:pt>
                <c:pt idx="6">
                  <c:v>0.84495845652466139</c:v>
                </c:pt>
                <c:pt idx="7">
                  <c:v>0.82968228499944618</c:v>
                </c:pt>
                <c:pt idx="8">
                  <c:v>0.81323365280325244</c:v>
                </c:pt>
                <c:pt idx="9">
                  <c:v>0.79558785115507635</c:v>
                </c:pt>
                <c:pt idx="10">
                  <c:v>0.77673257707894616</c:v>
                </c:pt>
                <c:pt idx="11">
                  <c:v>0.75667000978972154</c:v>
                </c:pt>
                <c:pt idx="12">
                  <c:v>0.73541873658526213</c:v>
                </c:pt>
                <c:pt idx="13">
                  <c:v>0.71301540411138775</c:v>
                </c:pt>
                <c:pt idx="14">
                  <c:v>0.68951596282864869</c:v>
                </c:pt>
                <c:pt idx="15">
                  <c:v>0.66499637419379565</c:v>
                </c:pt>
                <c:pt idx="16">
                  <c:v>0.63955266371427089</c:v>
                </c:pt>
                <c:pt idx="17">
                  <c:v>0.61330022982947174</c:v>
                </c:pt>
                <c:pt idx="18">
                  <c:v>0.58637235816706357</c:v>
                </c:pt>
                <c:pt idx="19">
                  <c:v>0.55891794090448821</c:v>
                </c:pt>
                <c:pt idx="20">
                  <c:v>0.5310984576300517</c:v>
                </c:pt>
                <c:pt idx="21">
                  <c:v>0.50308433158325028</c:v>
                </c:pt>
                <c:pt idx="22">
                  <c:v>0.47505082695210693</c:v>
                </c:pt>
                <c:pt idx="23">
                  <c:v>0.44717369264598811</c:v>
                </c:pt>
                <c:pt idx="24">
                  <c:v>0.41962478048806734</c:v>
                </c:pt>
                <c:pt idx="25">
                  <c:v>0.39256786806629257</c:v>
                </c:pt>
                <c:pt idx="26">
                  <c:v>0.36615489823467046</c:v>
                </c:pt>
                <c:pt idx="27">
                  <c:v>0.34052281092111331</c:v>
                </c:pt>
                <c:pt idx="28">
                  <c:v>0.31579109323072452</c:v>
                </c:pt>
                <c:pt idx="29">
                  <c:v>0.29206011702864132</c:v>
                </c:pt>
                <c:pt idx="30">
                  <c:v>0.26941027581333765</c:v>
                </c:pt>
                <c:pt idx="31">
                  <c:v>0.24790188066973781</c:v>
                </c:pt>
                <c:pt idx="32">
                  <c:v>0.22757573291137215</c:v>
                </c:pt>
                <c:pt idx="33">
                  <c:v>0.20845426131938838</c:v>
                </c:pt>
                <c:pt idx="34">
                  <c:v>0.19054309540439099</c:v>
                </c:pt>
                <c:pt idx="35">
                  <c:v>0.1738329419667809</c:v>
                </c:pt>
                <c:pt idx="36">
                  <c:v>0.15830163835783745</c:v>
                </c:pt>
                <c:pt idx="37">
                  <c:v>0.14391626955487519</c:v>
                </c:pt>
                <c:pt idx="38">
                  <c:v>0.13063525461771916</c:v>
                </c:pt>
                <c:pt idx="39">
                  <c:v>0.11841032867790527</c:v>
                </c:pt>
                <c:pt idx="40">
                  <c:v>0.10718836718314273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615656"/>
        <c:axId val="373616440"/>
      </c:scatterChart>
      <c:valAx>
        <c:axId val="373615656"/>
        <c:scaling>
          <c:orientation val="minMax"/>
          <c:max val="12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Rest Pulse (bpm)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16440"/>
        <c:crosses val="autoZero"/>
        <c:crossBetween val="midCat"/>
        <c:majorUnit val="10"/>
      </c:valAx>
      <c:valAx>
        <c:axId val="3736164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1565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Rest Pulse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'3Male|P1'!$A$2</c:f>
              <c:strCache>
                <c:ptCount val="1"/>
                <c:pt idx="0">
                  <c:v>Pulse1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'3Male|P1'!$A$3:$A$94</c:f>
              <c:numCache>
                <c:formatCode>General</c:formatCode>
                <c:ptCount val="92"/>
                <c:pt idx="0">
                  <c:v>48</c:v>
                </c:pt>
                <c:pt idx="1">
                  <c:v>54</c:v>
                </c:pt>
                <c:pt idx="2">
                  <c:v>54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61</c:v>
                </c:pt>
                <c:pt idx="11">
                  <c:v>62</c:v>
                </c:pt>
                <c:pt idx="12">
                  <c:v>62</c:v>
                </c:pt>
                <c:pt idx="13">
                  <c:v>62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66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72</c:v>
                </c:pt>
                <c:pt idx="47">
                  <c:v>72</c:v>
                </c:pt>
                <c:pt idx="48">
                  <c:v>72</c:v>
                </c:pt>
                <c:pt idx="49">
                  <c:v>72</c:v>
                </c:pt>
                <c:pt idx="50">
                  <c:v>72</c:v>
                </c:pt>
                <c:pt idx="51">
                  <c:v>72</c:v>
                </c:pt>
                <c:pt idx="52">
                  <c:v>74</c:v>
                </c:pt>
                <c:pt idx="53">
                  <c:v>74</c:v>
                </c:pt>
                <c:pt idx="54">
                  <c:v>74</c:v>
                </c:pt>
                <c:pt idx="55">
                  <c:v>74</c:v>
                </c:pt>
                <c:pt idx="56">
                  <c:v>74</c:v>
                </c:pt>
                <c:pt idx="57">
                  <c:v>76</c:v>
                </c:pt>
                <c:pt idx="58">
                  <c:v>76</c:v>
                </c:pt>
                <c:pt idx="59">
                  <c:v>76</c:v>
                </c:pt>
                <c:pt idx="60">
                  <c:v>76</c:v>
                </c:pt>
                <c:pt idx="61">
                  <c:v>76</c:v>
                </c:pt>
                <c:pt idx="62">
                  <c:v>78</c:v>
                </c:pt>
                <c:pt idx="63">
                  <c:v>78</c:v>
                </c:pt>
                <c:pt idx="64">
                  <c:v>78</c:v>
                </c:pt>
                <c:pt idx="65">
                  <c:v>78</c:v>
                </c:pt>
                <c:pt idx="66">
                  <c:v>78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82</c:v>
                </c:pt>
                <c:pt idx="71">
                  <c:v>82</c:v>
                </c:pt>
                <c:pt idx="72">
                  <c:v>82</c:v>
                </c:pt>
                <c:pt idx="73">
                  <c:v>84</c:v>
                </c:pt>
                <c:pt idx="74">
                  <c:v>84</c:v>
                </c:pt>
                <c:pt idx="75">
                  <c:v>84</c:v>
                </c:pt>
                <c:pt idx="76">
                  <c:v>84</c:v>
                </c:pt>
                <c:pt idx="77">
                  <c:v>86</c:v>
                </c:pt>
                <c:pt idx="78">
                  <c:v>87</c:v>
                </c:pt>
                <c:pt idx="79">
                  <c:v>88</c:v>
                </c:pt>
                <c:pt idx="80">
                  <c:v>88</c:v>
                </c:pt>
                <c:pt idx="81">
                  <c:v>88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92</c:v>
                </c:pt>
                <c:pt idx="87">
                  <c:v>92</c:v>
                </c:pt>
                <c:pt idx="88">
                  <c:v>94</c:v>
                </c:pt>
                <c:pt idx="89">
                  <c:v>96</c:v>
                </c:pt>
                <c:pt idx="90">
                  <c:v>96</c:v>
                </c:pt>
                <c:pt idx="91">
                  <c:v>100</c:v>
                </c:pt>
              </c:numCache>
            </c:numRef>
          </c:xVal>
          <c:yVal>
            <c:numRef>
              <c:f>'3Male|P1'!$B$3:$B$94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'3Male|P1'!$V$10</c:f>
              <c:strCache>
                <c:ptCount val="1"/>
                <c:pt idx="0">
                  <c:v>pY OLS2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8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25400" cap="rnd">
                <a:solidFill>
                  <a:schemeClr val="tx1"/>
                </a:solidFill>
                <a:prstDash val="sysDash"/>
                <a:round/>
              </a:ln>
              <a:effectLst/>
            </c:spPr>
          </c:dPt>
          <c:xVal>
            <c:numRef>
              <c:f>'3Male|P1'!$Q$11:$Q$51</c:f>
              <c:numCache>
                <c:formatCode>0</c:formatCode>
                <c:ptCount val="41"/>
                <c:pt idx="0">
                  <c:v>40</c:v>
                </c:pt>
                <c:pt idx="1">
                  <c:v>42</c:v>
                </c:pt>
                <c:pt idx="2">
                  <c:v>44</c:v>
                </c:pt>
                <c:pt idx="3">
                  <c:v>46</c:v>
                </c:pt>
                <c:pt idx="4">
                  <c:v>48</c:v>
                </c:pt>
                <c:pt idx="5">
                  <c:v>50</c:v>
                </c:pt>
                <c:pt idx="6">
                  <c:v>52</c:v>
                </c:pt>
                <c:pt idx="7">
                  <c:v>54</c:v>
                </c:pt>
                <c:pt idx="8">
                  <c:v>56</c:v>
                </c:pt>
                <c:pt idx="9">
                  <c:v>58</c:v>
                </c:pt>
                <c:pt idx="10">
                  <c:v>60</c:v>
                </c:pt>
                <c:pt idx="11">
                  <c:v>62</c:v>
                </c:pt>
                <c:pt idx="12">
                  <c:v>64</c:v>
                </c:pt>
                <c:pt idx="13">
                  <c:v>66</c:v>
                </c:pt>
                <c:pt idx="14">
                  <c:v>68</c:v>
                </c:pt>
                <c:pt idx="15">
                  <c:v>70</c:v>
                </c:pt>
                <c:pt idx="16">
                  <c:v>72</c:v>
                </c:pt>
                <c:pt idx="17">
                  <c:v>74</c:v>
                </c:pt>
                <c:pt idx="18">
                  <c:v>76</c:v>
                </c:pt>
                <c:pt idx="19">
                  <c:v>78</c:v>
                </c:pt>
                <c:pt idx="20">
                  <c:v>80</c:v>
                </c:pt>
                <c:pt idx="21">
                  <c:v>82</c:v>
                </c:pt>
                <c:pt idx="22">
                  <c:v>84</c:v>
                </c:pt>
                <c:pt idx="23">
                  <c:v>86</c:v>
                </c:pt>
                <c:pt idx="24">
                  <c:v>88</c:v>
                </c:pt>
                <c:pt idx="25">
                  <c:v>90</c:v>
                </c:pt>
                <c:pt idx="26">
                  <c:v>92</c:v>
                </c:pt>
                <c:pt idx="27">
                  <c:v>94</c:v>
                </c:pt>
                <c:pt idx="28">
                  <c:v>96</c:v>
                </c:pt>
                <c:pt idx="29">
                  <c:v>98</c:v>
                </c:pt>
                <c:pt idx="30">
                  <c:v>100</c:v>
                </c:pt>
                <c:pt idx="31">
                  <c:v>102</c:v>
                </c:pt>
                <c:pt idx="32">
                  <c:v>104</c:v>
                </c:pt>
                <c:pt idx="33">
                  <c:v>106</c:v>
                </c:pt>
                <c:pt idx="34">
                  <c:v>108</c:v>
                </c:pt>
                <c:pt idx="35">
                  <c:v>110</c:v>
                </c:pt>
                <c:pt idx="36">
                  <c:v>112</c:v>
                </c:pt>
                <c:pt idx="37">
                  <c:v>114</c:v>
                </c:pt>
                <c:pt idx="38">
                  <c:v>116</c:v>
                </c:pt>
                <c:pt idx="39">
                  <c:v>118</c:v>
                </c:pt>
                <c:pt idx="40">
                  <c:v>120</c:v>
                </c:pt>
              </c:numCache>
            </c:numRef>
          </c:xVal>
          <c:yVal>
            <c:numRef>
              <c:f>'3Male|P1'!$V$11:$V$51</c:f>
              <c:numCache>
                <c:formatCode>0.00</c:formatCode>
                <c:ptCount val="41"/>
                <c:pt idx="0">
                  <c:v>5.7266355140186853</c:v>
                </c:pt>
                <c:pt idx="1">
                  <c:v>5.4158878504672838</c:v>
                </c:pt>
                <c:pt idx="2">
                  <c:v>5.1051401869158823</c:v>
                </c:pt>
                <c:pt idx="3">
                  <c:v>4.7943925233644809</c:v>
                </c:pt>
                <c:pt idx="4">
                  <c:v>4.4836448598130794</c:v>
                </c:pt>
                <c:pt idx="5">
                  <c:v>4.1728971962616779</c:v>
                </c:pt>
                <c:pt idx="6">
                  <c:v>3.8621495327102759</c:v>
                </c:pt>
                <c:pt idx="7">
                  <c:v>3.551401869158874</c:v>
                </c:pt>
                <c:pt idx="8">
                  <c:v>3.2406542056074725</c:v>
                </c:pt>
                <c:pt idx="9">
                  <c:v>2.929906542056071</c:v>
                </c:pt>
                <c:pt idx="10">
                  <c:v>2.6191588785046696</c:v>
                </c:pt>
                <c:pt idx="11">
                  <c:v>2.3084112149532681</c:v>
                </c:pt>
                <c:pt idx="12">
                  <c:v>1.9976635514018666</c:v>
                </c:pt>
                <c:pt idx="13">
                  <c:v>1.6869158878504651</c:v>
                </c:pt>
                <c:pt idx="14">
                  <c:v>1.3761682242990636</c:v>
                </c:pt>
                <c:pt idx="15">
                  <c:v>1.0654205607476621</c:v>
                </c:pt>
                <c:pt idx="16">
                  <c:v>0.75467289719626041</c:v>
                </c:pt>
                <c:pt idx="17">
                  <c:v>0.44392523364485892</c:v>
                </c:pt>
                <c:pt idx="18">
                  <c:v>0.13317757009345738</c:v>
                </c:pt>
                <c:pt idx="19">
                  <c:v>-0.17757009345794417</c:v>
                </c:pt>
                <c:pt idx="20">
                  <c:v>-0.48831775700934565</c:v>
                </c:pt>
                <c:pt idx="21">
                  <c:v>-0.79906542056074736</c:v>
                </c:pt>
                <c:pt idx="22">
                  <c:v>-1.1098130841121487</c:v>
                </c:pt>
                <c:pt idx="23">
                  <c:v>-1.4205607476635507</c:v>
                </c:pt>
                <c:pt idx="24">
                  <c:v>-1.7313084112149522</c:v>
                </c:pt>
                <c:pt idx="25">
                  <c:v>-2.0420560747663536</c:v>
                </c:pt>
                <c:pt idx="26">
                  <c:v>-2.3528037383177551</c:v>
                </c:pt>
                <c:pt idx="27">
                  <c:v>-2.6635514018691566</c:v>
                </c:pt>
                <c:pt idx="28">
                  <c:v>-2.9742990654205581</c:v>
                </c:pt>
                <c:pt idx="29">
                  <c:v>-3.2850467289719596</c:v>
                </c:pt>
                <c:pt idx="30">
                  <c:v>-3.5957943925233615</c:v>
                </c:pt>
                <c:pt idx="31">
                  <c:v>-3.906542056074763</c:v>
                </c:pt>
                <c:pt idx="32">
                  <c:v>-4.2172897196261641</c:v>
                </c:pt>
                <c:pt idx="33">
                  <c:v>-4.5280373831775655</c:v>
                </c:pt>
                <c:pt idx="34">
                  <c:v>-4.838785046728967</c:v>
                </c:pt>
                <c:pt idx="35">
                  <c:v>-5.1495327102803685</c:v>
                </c:pt>
                <c:pt idx="36">
                  <c:v>-5.46028037383177</c:v>
                </c:pt>
                <c:pt idx="37">
                  <c:v>-5.7710280373831715</c:v>
                </c:pt>
                <c:pt idx="38">
                  <c:v>-6.081775700934573</c:v>
                </c:pt>
                <c:pt idx="39">
                  <c:v>-6.3925233644859745</c:v>
                </c:pt>
                <c:pt idx="40">
                  <c:v>-6.703271028037376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3619576"/>
        <c:axId val="373619968"/>
      </c:scatterChart>
      <c:valAx>
        <c:axId val="373619576"/>
        <c:scaling>
          <c:orientation val="minMax"/>
          <c:max val="12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Rest Pulse (bpm)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19968"/>
        <c:crosses val="autoZero"/>
        <c:crossBetween val="midCat"/>
        <c:majorUnit val="10"/>
      </c:valAx>
      <c:valAx>
        <c:axId val="3736199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619576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Height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'1Male|Ht'!$T$10</c:f>
              <c:strCache>
                <c:ptCount val="1"/>
                <c:pt idx="0">
                  <c:v>Prob Y=1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'1Male|Ht'!$Q$11:$Q$51</c:f>
              <c:numCache>
                <c:formatCode>0</c:formatCode>
                <c:ptCount val="41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64</c:v>
                </c:pt>
                <c:pt idx="7">
                  <c:v>65</c:v>
                </c:pt>
                <c:pt idx="8">
                  <c:v>66</c:v>
                </c:pt>
                <c:pt idx="9">
                  <c:v>67</c:v>
                </c:pt>
                <c:pt idx="10">
                  <c:v>68</c:v>
                </c:pt>
                <c:pt idx="11">
                  <c:v>69</c:v>
                </c:pt>
                <c:pt idx="12">
                  <c:v>70</c:v>
                </c:pt>
                <c:pt idx="13">
                  <c:v>71</c:v>
                </c:pt>
                <c:pt idx="14">
                  <c:v>72</c:v>
                </c:pt>
                <c:pt idx="15">
                  <c:v>73</c:v>
                </c:pt>
                <c:pt idx="16">
                  <c:v>74</c:v>
                </c:pt>
                <c:pt idx="17">
                  <c:v>75</c:v>
                </c:pt>
                <c:pt idx="18">
                  <c:v>76</c:v>
                </c:pt>
                <c:pt idx="19">
                  <c:v>77</c:v>
                </c:pt>
                <c:pt idx="20">
                  <c:v>78</c:v>
                </c:pt>
                <c:pt idx="21">
                  <c:v>79</c:v>
                </c:pt>
                <c:pt idx="22">
                  <c:v>80</c:v>
                </c:pt>
                <c:pt idx="23">
                  <c:v>81</c:v>
                </c:pt>
                <c:pt idx="24">
                  <c:v>82</c:v>
                </c:pt>
                <c:pt idx="25">
                  <c:v>83</c:v>
                </c:pt>
                <c:pt idx="26">
                  <c:v>84</c:v>
                </c:pt>
                <c:pt idx="27">
                  <c:v>85</c:v>
                </c:pt>
                <c:pt idx="28">
                  <c:v>86</c:v>
                </c:pt>
                <c:pt idx="29">
                  <c:v>87</c:v>
                </c:pt>
                <c:pt idx="30">
                  <c:v>88</c:v>
                </c:pt>
                <c:pt idx="31">
                  <c:v>89</c:v>
                </c:pt>
                <c:pt idx="32">
                  <c:v>90</c:v>
                </c:pt>
                <c:pt idx="33">
                  <c:v>91</c:v>
                </c:pt>
                <c:pt idx="34">
                  <c:v>92</c:v>
                </c:pt>
                <c:pt idx="35">
                  <c:v>93</c:v>
                </c:pt>
                <c:pt idx="36">
                  <c:v>94</c:v>
                </c:pt>
                <c:pt idx="37">
                  <c:v>95</c:v>
                </c:pt>
                <c:pt idx="38">
                  <c:v>96</c:v>
                </c:pt>
                <c:pt idx="39">
                  <c:v>97</c:v>
                </c:pt>
                <c:pt idx="40">
                  <c:v>98</c:v>
                </c:pt>
              </c:numCache>
            </c:numRef>
          </c:xVal>
          <c:yVal>
            <c:numRef>
              <c:f>'1Male|Ht'!$T$11:$T$51</c:f>
              <c:numCache>
                <c:formatCode>0%</c:formatCode>
                <c:ptCount val="41"/>
                <c:pt idx="0">
                  <c:v>5.6805820634674153E-4</c:v>
                </c:pt>
                <c:pt idx="1">
                  <c:v>1.2514490152225656E-3</c:v>
                </c:pt>
                <c:pt idx="2">
                  <c:v>2.7547131167372885E-3</c:v>
                </c:pt>
                <c:pt idx="3">
                  <c:v>6.0527828364824966E-3</c:v>
                </c:pt>
                <c:pt idx="4">
                  <c:v>1.3247002266217625E-2</c:v>
                </c:pt>
                <c:pt idx="5">
                  <c:v>2.8744839066895806E-2</c:v>
                </c:pt>
                <c:pt idx="6">
                  <c:v>6.124838278950484E-2</c:v>
                </c:pt>
                <c:pt idx="7">
                  <c:v>0.1257472056045488</c:v>
                </c:pt>
                <c:pt idx="8">
                  <c:v>0.24074882332554237</c:v>
                </c:pt>
                <c:pt idx="9">
                  <c:v>0.41142902508819346</c:v>
                </c:pt>
                <c:pt idx="10">
                  <c:v>0.6064601048970143</c:v>
                </c:pt>
                <c:pt idx="11">
                  <c:v>0.77258649358567655</c:v>
                </c:pt>
                <c:pt idx="12">
                  <c:v>0.88220633626931599</c:v>
                </c:pt>
                <c:pt idx="13">
                  <c:v>0.94289207793413443</c:v>
                </c:pt>
                <c:pt idx="14">
                  <c:v>0.97326093138043035</c:v>
                </c:pt>
                <c:pt idx="15">
                  <c:v>0.98769105810414448</c:v>
                </c:pt>
                <c:pt idx="16">
                  <c:v>0.99437873522408593</c:v>
                </c:pt>
                <c:pt idx="17">
                  <c:v>0.99744228233884547</c:v>
                </c:pt>
                <c:pt idx="18">
                  <c:v>0.99883817003719455</c:v>
                </c:pt>
                <c:pt idx="19">
                  <c:v>0.99947264754805087</c:v>
                </c:pt>
                <c:pt idx="20">
                  <c:v>0.99976071871104433</c:v>
                </c:pt>
                <c:pt idx="21">
                  <c:v>0.99989144542349506</c:v>
                </c:pt>
                <c:pt idx="22">
                  <c:v>0.99995075563839542</c:v>
                </c:pt>
                <c:pt idx="23">
                  <c:v>0.99997766166439228</c:v>
                </c:pt>
                <c:pt idx="24">
                  <c:v>0.99998986698404724</c:v>
                </c:pt>
                <c:pt idx="25">
                  <c:v>0.99999540353724858</c:v>
                </c:pt>
                <c:pt idx="26">
                  <c:v>0.9999979149933238</c:v>
                </c:pt>
                <c:pt idx="27">
                  <c:v>0.99999905421905722</c:v>
                </c:pt>
                <c:pt idx="28">
                  <c:v>0.99999957098409076</c:v>
                </c:pt>
                <c:pt idx="29">
                  <c:v>0.99999980539405053</c:v>
                </c:pt>
                <c:pt idx="30">
                  <c:v>0.99999991172478708</c:v>
                </c:pt>
                <c:pt idx="31">
                  <c:v>0.99999995995747926</c:v>
                </c:pt>
                <c:pt idx="32">
                  <c:v>0.999999981836312</c:v>
                </c:pt>
                <c:pt idx="33">
                  <c:v>0.99999999176076948</c:v>
                </c:pt>
                <c:pt idx="34">
                  <c:v>0.99999999626260272</c:v>
                </c:pt>
                <c:pt idx="35">
                  <c:v>0.99999999830467923</c:v>
                </c:pt>
                <c:pt idx="36">
                  <c:v>0.99999999923098559</c:v>
                </c:pt>
                <c:pt idx="37">
                  <c:v>0.99999999965116737</c:v>
                </c:pt>
                <c:pt idx="38">
                  <c:v>0.99999999984176602</c:v>
                </c:pt>
                <c:pt idx="39">
                  <c:v>0.99999999992822353</c:v>
                </c:pt>
                <c:pt idx="40">
                  <c:v>0.99999999996744149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117328"/>
        <c:axId val="241113408"/>
      </c:scatterChart>
      <c:valAx>
        <c:axId val="241117328"/>
        <c:scaling>
          <c:orientation val="minMax"/>
          <c:max val="76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113408"/>
        <c:crosses val="autoZero"/>
        <c:crossBetween val="midCat"/>
        <c:majorUnit val="2"/>
      </c:valAx>
      <c:valAx>
        <c:axId val="2411134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11732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Logistic: Gender by Pulse1</a:t>
            </a:r>
            <a:r>
              <a:rPr lang="en-US" sz="1800" b="1" i="0" baseline="0">
                <a:effectLst/>
              </a:rPr>
              <a:t>: MLE vs OLS-Based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13719076274043454"/>
          <c:y val="2.7491408934707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'3Male|P1'!$A$2</c:f>
              <c:strCache>
                <c:ptCount val="1"/>
                <c:pt idx="0">
                  <c:v>Pulse1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'3Male|P1'!$A$3:$A$94</c:f>
              <c:numCache>
                <c:formatCode>General</c:formatCode>
                <c:ptCount val="92"/>
                <c:pt idx="0">
                  <c:v>48</c:v>
                </c:pt>
                <c:pt idx="1">
                  <c:v>54</c:v>
                </c:pt>
                <c:pt idx="2">
                  <c:v>54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61</c:v>
                </c:pt>
                <c:pt idx="11">
                  <c:v>62</c:v>
                </c:pt>
                <c:pt idx="12">
                  <c:v>62</c:v>
                </c:pt>
                <c:pt idx="13">
                  <c:v>62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66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72</c:v>
                </c:pt>
                <c:pt idx="47">
                  <c:v>72</c:v>
                </c:pt>
                <c:pt idx="48">
                  <c:v>72</c:v>
                </c:pt>
                <c:pt idx="49">
                  <c:v>72</c:v>
                </c:pt>
                <c:pt idx="50">
                  <c:v>72</c:v>
                </c:pt>
                <c:pt idx="51">
                  <c:v>72</c:v>
                </c:pt>
                <c:pt idx="52">
                  <c:v>74</c:v>
                </c:pt>
                <c:pt idx="53">
                  <c:v>74</c:v>
                </c:pt>
                <c:pt idx="54">
                  <c:v>74</c:v>
                </c:pt>
                <c:pt idx="55">
                  <c:v>74</c:v>
                </c:pt>
                <c:pt idx="56">
                  <c:v>74</c:v>
                </c:pt>
                <c:pt idx="57">
                  <c:v>76</c:v>
                </c:pt>
                <c:pt idx="58">
                  <c:v>76</c:v>
                </c:pt>
                <c:pt idx="59">
                  <c:v>76</c:v>
                </c:pt>
                <c:pt idx="60">
                  <c:v>76</c:v>
                </c:pt>
                <c:pt idx="61">
                  <c:v>76</c:v>
                </c:pt>
                <c:pt idx="62">
                  <c:v>78</c:v>
                </c:pt>
                <c:pt idx="63">
                  <c:v>78</c:v>
                </c:pt>
                <c:pt idx="64">
                  <c:v>78</c:v>
                </c:pt>
                <c:pt idx="65">
                  <c:v>78</c:v>
                </c:pt>
                <c:pt idx="66">
                  <c:v>78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82</c:v>
                </c:pt>
                <c:pt idx="71">
                  <c:v>82</c:v>
                </c:pt>
                <c:pt idx="72">
                  <c:v>82</c:v>
                </c:pt>
                <c:pt idx="73">
                  <c:v>84</c:v>
                </c:pt>
                <c:pt idx="74">
                  <c:v>84</c:v>
                </c:pt>
                <c:pt idx="75">
                  <c:v>84</c:v>
                </c:pt>
                <c:pt idx="76">
                  <c:v>84</c:v>
                </c:pt>
                <c:pt idx="77">
                  <c:v>86</c:v>
                </c:pt>
                <c:pt idx="78">
                  <c:v>87</c:v>
                </c:pt>
                <c:pt idx="79">
                  <c:v>88</c:v>
                </c:pt>
                <c:pt idx="80">
                  <c:v>88</c:v>
                </c:pt>
                <c:pt idx="81">
                  <c:v>88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92</c:v>
                </c:pt>
                <c:pt idx="87">
                  <c:v>92</c:v>
                </c:pt>
                <c:pt idx="88">
                  <c:v>94</c:v>
                </c:pt>
                <c:pt idx="89">
                  <c:v>96</c:v>
                </c:pt>
                <c:pt idx="90">
                  <c:v>96</c:v>
                </c:pt>
                <c:pt idx="91">
                  <c:v>100</c:v>
                </c:pt>
              </c:numCache>
            </c:numRef>
          </c:xVal>
          <c:yVal>
            <c:numRef>
              <c:f>'3Male|P1'!$B$3:$B$94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'3Male|P1'!$Q$10</c:f>
              <c:strCache>
                <c:ptCount val="1"/>
                <c:pt idx="0">
                  <c:v>Q-Axis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'3Male|P1'!$Q$11:$Q$51</c:f>
              <c:numCache>
                <c:formatCode>0</c:formatCode>
                <c:ptCount val="41"/>
                <c:pt idx="0">
                  <c:v>40</c:v>
                </c:pt>
                <c:pt idx="1">
                  <c:v>42</c:v>
                </c:pt>
                <c:pt idx="2">
                  <c:v>44</c:v>
                </c:pt>
                <c:pt idx="3">
                  <c:v>46</c:v>
                </c:pt>
                <c:pt idx="4">
                  <c:v>48</c:v>
                </c:pt>
                <c:pt idx="5">
                  <c:v>50</c:v>
                </c:pt>
                <c:pt idx="6">
                  <c:v>52</c:v>
                </c:pt>
                <c:pt idx="7">
                  <c:v>54</c:v>
                </c:pt>
                <c:pt idx="8">
                  <c:v>56</c:v>
                </c:pt>
                <c:pt idx="9">
                  <c:v>58</c:v>
                </c:pt>
                <c:pt idx="10">
                  <c:v>60</c:v>
                </c:pt>
                <c:pt idx="11">
                  <c:v>62</c:v>
                </c:pt>
                <c:pt idx="12">
                  <c:v>64</c:v>
                </c:pt>
                <c:pt idx="13">
                  <c:v>66</c:v>
                </c:pt>
                <c:pt idx="14">
                  <c:v>68</c:v>
                </c:pt>
                <c:pt idx="15">
                  <c:v>70</c:v>
                </c:pt>
                <c:pt idx="16">
                  <c:v>72</c:v>
                </c:pt>
                <c:pt idx="17">
                  <c:v>74</c:v>
                </c:pt>
                <c:pt idx="18">
                  <c:v>76</c:v>
                </c:pt>
                <c:pt idx="19">
                  <c:v>78</c:v>
                </c:pt>
                <c:pt idx="20">
                  <c:v>80</c:v>
                </c:pt>
                <c:pt idx="21">
                  <c:v>82</c:v>
                </c:pt>
                <c:pt idx="22">
                  <c:v>84</c:v>
                </c:pt>
                <c:pt idx="23">
                  <c:v>86</c:v>
                </c:pt>
                <c:pt idx="24">
                  <c:v>88</c:v>
                </c:pt>
                <c:pt idx="25">
                  <c:v>90</c:v>
                </c:pt>
                <c:pt idx="26">
                  <c:v>92</c:v>
                </c:pt>
                <c:pt idx="27">
                  <c:v>94</c:v>
                </c:pt>
                <c:pt idx="28">
                  <c:v>96</c:v>
                </c:pt>
                <c:pt idx="29">
                  <c:v>98</c:v>
                </c:pt>
                <c:pt idx="30">
                  <c:v>100</c:v>
                </c:pt>
                <c:pt idx="31">
                  <c:v>102</c:v>
                </c:pt>
                <c:pt idx="32">
                  <c:v>104</c:v>
                </c:pt>
                <c:pt idx="33">
                  <c:v>106</c:v>
                </c:pt>
                <c:pt idx="34">
                  <c:v>108</c:v>
                </c:pt>
                <c:pt idx="35">
                  <c:v>110</c:v>
                </c:pt>
                <c:pt idx="36">
                  <c:v>112</c:v>
                </c:pt>
                <c:pt idx="37">
                  <c:v>114</c:v>
                </c:pt>
                <c:pt idx="38">
                  <c:v>116</c:v>
                </c:pt>
                <c:pt idx="39">
                  <c:v>118</c:v>
                </c:pt>
                <c:pt idx="40">
                  <c:v>120</c:v>
                </c:pt>
              </c:numCache>
            </c:numRef>
          </c:xVal>
          <c:yVal>
            <c:numRef>
              <c:f>'3Male|P1'!$T$11:$T$51</c:f>
              <c:numCache>
                <c:formatCode>0%</c:formatCode>
                <c:ptCount val="41"/>
                <c:pt idx="0">
                  <c:v>0.91442459631528994</c:v>
                </c:pt>
                <c:pt idx="1">
                  <c:v>0.90522518136571273</c:v>
                </c:pt>
                <c:pt idx="2">
                  <c:v>0.89515021722737753</c:v>
                </c:pt>
                <c:pt idx="3">
                  <c:v>0.8841413192292561</c:v>
                </c:pt>
                <c:pt idx="4">
                  <c:v>0.87214162391963779</c:v>
                </c:pt>
                <c:pt idx="5">
                  <c:v>0.8590971642244164</c:v>
                </c:pt>
                <c:pt idx="6">
                  <c:v>0.84495845652466139</c:v>
                </c:pt>
                <c:pt idx="7">
                  <c:v>0.82968228499944618</c:v>
                </c:pt>
                <c:pt idx="8">
                  <c:v>0.81323365280325244</c:v>
                </c:pt>
                <c:pt idx="9">
                  <c:v>0.79558785115507635</c:v>
                </c:pt>
                <c:pt idx="10">
                  <c:v>0.77673257707894616</c:v>
                </c:pt>
                <c:pt idx="11">
                  <c:v>0.75667000978972154</c:v>
                </c:pt>
                <c:pt idx="12">
                  <c:v>0.73541873658526213</c:v>
                </c:pt>
                <c:pt idx="13">
                  <c:v>0.71301540411138775</c:v>
                </c:pt>
                <c:pt idx="14">
                  <c:v>0.68951596282864869</c:v>
                </c:pt>
                <c:pt idx="15">
                  <c:v>0.66499637419379565</c:v>
                </c:pt>
                <c:pt idx="16">
                  <c:v>0.63955266371427089</c:v>
                </c:pt>
                <c:pt idx="17">
                  <c:v>0.61330022982947174</c:v>
                </c:pt>
                <c:pt idx="18">
                  <c:v>0.58637235816706357</c:v>
                </c:pt>
                <c:pt idx="19">
                  <c:v>0.55891794090448821</c:v>
                </c:pt>
                <c:pt idx="20">
                  <c:v>0.5310984576300517</c:v>
                </c:pt>
                <c:pt idx="21">
                  <c:v>0.50308433158325028</c:v>
                </c:pt>
                <c:pt idx="22">
                  <c:v>0.47505082695210693</c:v>
                </c:pt>
                <c:pt idx="23">
                  <c:v>0.44717369264598811</c:v>
                </c:pt>
                <c:pt idx="24">
                  <c:v>0.41962478048806734</c:v>
                </c:pt>
                <c:pt idx="25">
                  <c:v>0.39256786806629257</c:v>
                </c:pt>
                <c:pt idx="26">
                  <c:v>0.36615489823467046</c:v>
                </c:pt>
                <c:pt idx="27">
                  <c:v>0.34052281092111331</c:v>
                </c:pt>
                <c:pt idx="28">
                  <c:v>0.31579109323072452</c:v>
                </c:pt>
                <c:pt idx="29">
                  <c:v>0.29206011702864132</c:v>
                </c:pt>
                <c:pt idx="30">
                  <c:v>0.26941027581333765</c:v>
                </c:pt>
                <c:pt idx="31">
                  <c:v>0.24790188066973781</c:v>
                </c:pt>
                <c:pt idx="32">
                  <c:v>0.22757573291137215</c:v>
                </c:pt>
                <c:pt idx="33">
                  <c:v>0.20845426131938838</c:v>
                </c:pt>
                <c:pt idx="34">
                  <c:v>0.19054309540439099</c:v>
                </c:pt>
                <c:pt idx="35">
                  <c:v>0.1738329419667809</c:v>
                </c:pt>
                <c:pt idx="36">
                  <c:v>0.15830163835783745</c:v>
                </c:pt>
                <c:pt idx="37">
                  <c:v>0.14391626955487519</c:v>
                </c:pt>
                <c:pt idx="38">
                  <c:v>0.13063525461771916</c:v>
                </c:pt>
                <c:pt idx="39">
                  <c:v>0.11841032867790527</c:v>
                </c:pt>
                <c:pt idx="40">
                  <c:v>0.10718836718314273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'3Male|P1'!$W$10</c:f>
              <c:strCache>
                <c:ptCount val="1"/>
                <c:pt idx="0">
                  <c:v>pY Est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'3Male|P1'!$Q$11:$Q$51</c:f>
              <c:numCache>
                <c:formatCode>0</c:formatCode>
                <c:ptCount val="41"/>
                <c:pt idx="0">
                  <c:v>40</c:v>
                </c:pt>
                <c:pt idx="1">
                  <c:v>42</c:v>
                </c:pt>
                <c:pt idx="2">
                  <c:v>44</c:v>
                </c:pt>
                <c:pt idx="3">
                  <c:v>46</c:v>
                </c:pt>
                <c:pt idx="4">
                  <c:v>48</c:v>
                </c:pt>
                <c:pt idx="5">
                  <c:v>50</c:v>
                </c:pt>
                <c:pt idx="6">
                  <c:v>52</c:v>
                </c:pt>
                <c:pt idx="7">
                  <c:v>54</c:v>
                </c:pt>
                <c:pt idx="8">
                  <c:v>56</c:v>
                </c:pt>
                <c:pt idx="9">
                  <c:v>58</c:v>
                </c:pt>
                <c:pt idx="10">
                  <c:v>60</c:v>
                </c:pt>
                <c:pt idx="11">
                  <c:v>62</c:v>
                </c:pt>
                <c:pt idx="12">
                  <c:v>64</c:v>
                </c:pt>
                <c:pt idx="13">
                  <c:v>66</c:v>
                </c:pt>
                <c:pt idx="14">
                  <c:v>68</c:v>
                </c:pt>
                <c:pt idx="15">
                  <c:v>70</c:v>
                </c:pt>
                <c:pt idx="16">
                  <c:v>72</c:v>
                </c:pt>
                <c:pt idx="17">
                  <c:v>74</c:v>
                </c:pt>
                <c:pt idx="18">
                  <c:v>76</c:v>
                </c:pt>
                <c:pt idx="19">
                  <c:v>78</c:v>
                </c:pt>
                <c:pt idx="20">
                  <c:v>80</c:v>
                </c:pt>
                <c:pt idx="21">
                  <c:v>82</c:v>
                </c:pt>
                <c:pt idx="22">
                  <c:v>84</c:v>
                </c:pt>
                <c:pt idx="23">
                  <c:v>86</c:v>
                </c:pt>
                <c:pt idx="24">
                  <c:v>88</c:v>
                </c:pt>
                <c:pt idx="25">
                  <c:v>90</c:v>
                </c:pt>
                <c:pt idx="26">
                  <c:v>92</c:v>
                </c:pt>
                <c:pt idx="27">
                  <c:v>94</c:v>
                </c:pt>
                <c:pt idx="28">
                  <c:v>96</c:v>
                </c:pt>
                <c:pt idx="29">
                  <c:v>98</c:v>
                </c:pt>
                <c:pt idx="30">
                  <c:v>100</c:v>
                </c:pt>
                <c:pt idx="31">
                  <c:v>102</c:v>
                </c:pt>
                <c:pt idx="32">
                  <c:v>104</c:v>
                </c:pt>
                <c:pt idx="33">
                  <c:v>106</c:v>
                </c:pt>
                <c:pt idx="34">
                  <c:v>108</c:v>
                </c:pt>
                <c:pt idx="35">
                  <c:v>110</c:v>
                </c:pt>
                <c:pt idx="36">
                  <c:v>112</c:v>
                </c:pt>
                <c:pt idx="37">
                  <c:v>114</c:v>
                </c:pt>
                <c:pt idx="38">
                  <c:v>116</c:v>
                </c:pt>
                <c:pt idx="39">
                  <c:v>118</c:v>
                </c:pt>
                <c:pt idx="40">
                  <c:v>120</c:v>
                </c:pt>
              </c:numCache>
            </c:numRef>
          </c:xVal>
          <c:yVal>
            <c:numRef>
              <c:f>'3Male|P1'!$W$11:$W$51</c:f>
              <c:numCache>
                <c:formatCode>0.00</c:formatCode>
                <c:ptCount val="41"/>
                <c:pt idx="0">
                  <c:v>0.99999999999621592</c:v>
                </c:pt>
                <c:pt idx="1">
                  <c:v>0.99999999998688427</c:v>
                </c:pt>
                <c:pt idx="2">
                  <c:v>0.99999999995454103</c:v>
                </c:pt>
                <c:pt idx="3">
                  <c:v>0.9999999998424407</c:v>
                </c:pt>
                <c:pt idx="4">
                  <c:v>0.99999999945390528</c:v>
                </c:pt>
                <c:pt idx="5">
                  <c:v>0.99999999810725582</c:v>
                </c:pt>
                <c:pt idx="6">
                  <c:v>0.99999999343981805</c:v>
                </c:pt>
                <c:pt idx="7">
                  <c:v>0.99999997726264966</c:v>
                </c:pt>
                <c:pt idx="8">
                  <c:v>0.99999992119317826</c:v>
                </c:pt>
                <c:pt idx="9">
                  <c:v>0.99999972685848704</c:v>
                </c:pt>
                <c:pt idx="10">
                  <c:v>0.99999905330212957</c:v>
                </c:pt>
                <c:pt idx="11">
                  <c:v>0.99999671878741581</c:v>
                </c:pt>
                <c:pt idx="12">
                  <c:v>0.99998862752903639</c:v>
                </c:pt>
                <c:pt idx="13">
                  <c:v>0.99996058453634962</c:v>
                </c:pt>
                <c:pt idx="14">
                  <c:v>0.99986340071954671</c:v>
                </c:pt>
                <c:pt idx="15">
                  <c:v>0.99952671130948445</c:v>
                </c:pt>
                <c:pt idx="16">
                  <c:v>0.99836151098503345</c:v>
                </c:pt>
                <c:pt idx="17">
                  <c:v>0.99434391008548484</c:v>
                </c:pt>
                <c:pt idx="18">
                  <c:v>0.98066586584312243</c:v>
                </c:pt>
                <c:pt idx="19">
                  <c:v>0.93603812464050307</c:v>
                </c:pt>
                <c:pt idx="20">
                  <c:v>0.80851323342075054</c:v>
                </c:pt>
                <c:pt idx="21">
                  <c:v>0.54918732356036914</c:v>
                </c:pt>
                <c:pt idx="22">
                  <c:v>0.26007034594030437</c:v>
                </c:pt>
                <c:pt idx="23">
                  <c:v>9.2072048699178649E-2</c:v>
                </c:pt>
                <c:pt idx="24">
                  <c:v>2.8426799418074605E-2</c:v>
                </c:pt>
                <c:pt idx="25">
                  <c:v>8.3710063687509311E-3</c:v>
                </c:pt>
                <c:pt idx="26">
                  <c:v>2.429673941512534E-3</c:v>
                </c:pt>
                <c:pt idx="27">
                  <c:v>7.0222358664251254E-4</c:v>
                </c:pt>
                <c:pt idx="28">
                  <c:v>2.0270686921133597E-4</c:v>
                </c:pt>
                <c:pt idx="29">
                  <c:v>5.8493434636909387E-5</c:v>
                </c:pt>
                <c:pt idx="30">
                  <c:v>1.6877231804184389E-5</c:v>
                </c:pt>
                <c:pt idx="31">
                  <c:v>4.8694784492750898E-6</c:v>
                </c:pt>
                <c:pt idx="32">
                  <c:v>1.4049470947455563E-6</c:v>
                </c:pt>
                <c:pt idx="33">
                  <c:v>4.0535582898559492E-7</c:v>
                </c:pt>
                <c:pt idx="34">
                  <c:v>1.1695332290391755E-7</c:v>
                </c:pt>
                <c:pt idx="35">
                  <c:v>3.3743382859095738E-8</c:v>
                </c:pt>
                <c:pt idx="36">
                  <c:v>9.7356431702446829E-9</c:v>
                </c:pt>
                <c:pt idx="37">
                  <c:v>2.8089283968692587E-9</c:v>
                </c:pt>
                <c:pt idx="38">
                  <c:v>8.1043219866245065E-10</c:v>
                </c:pt>
                <c:pt idx="39">
                  <c:v>2.3382594886612445E-10</c:v>
                </c:pt>
                <c:pt idx="40">
                  <c:v>6.746347742716698E-11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788544"/>
        <c:axId val="137786192"/>
      </c:scatterChart>
      <c:valAx>
        <c:axId val="137788544"/>
        <c:scaling>
          <c:orientation val="minMax"/>
          <c:max val="12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Rest Pulse (bpm)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86192"/>
        <c:crosses val="autoZero"/>
        <c:crossBetween val="midCat"/>
        <c:majorUnit val="10"/>
      </c:valAx>
      <c:valAx>
        <c:axId val="137786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88544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Rest Pulse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'3Male|P1'!$A$2</c:f>
              <c:strCache>
                <c:ptCount val="1"/>
                <c:pt idx="0">
                  <c:v>Pulse1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0"/>
            <c:backward val="5"/>
            <c:dispRSqr val="1"/>
            <c:dispEq val="1"/>
            <c:trendlineLbl>
              <c:layout>
                <c:manualLayout>
                  <c:x val="-0.53492257217847772"/>
                  <c:y val="-0.1734565470982793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'3Male|P1'!$A$3:$A$94</c:f>
              <c:numCache>
                <c:formatCode>General</c:formatCode>
                <c:ptCount val="92"/>
                <c:pt idx="0">
                  <c:v>48</c:v>
                </c:pt>
                <c:pt idx="1">
                  <c:v>54</c:v>
                </c:pt>
                <c:pt idx="2">
                  <c:v>54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61</c:v>
                </c:pt>
                <c:pt idx="11">
                  <c:v>62</c:v>
                </c:pt>
                <c:pt idx="12">
                  <c:v>62</c:v>
                </c:pt>
                <c:pt idx="13">
                  <c:v>62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66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72</c:v>
                </c:pt>
                <c:pt idx="47">
                  <c:v>72</c:v>
                </c:pt>
                <c:pt idx="48">
                  <c:v>72</c:v>
                </c:pt>
                <c:pt idx="49">
                  <c:v>72</c:v>
                </c:pt>
                <c:pt idx="50">
                  <c:v>72</c:v>
                </c:pt>
                <c:pt idx="51">
                  <c:v>72</c:v>
                </c:pt>
                <c:pt idx="52">
                  <c:v>74</c:v>
                </c:pt>
                <c:pt idx="53">
                  <c:v>74</c:v>
                </c:pt>
                <c:pt idx="54">
                  <c:v>74</c:v>
                </c:pt>
                <c:pt idx="55">
                  <c:v>74</c:v>
                </c:pt>
                <c:pt idx="56">
                  <c:v>74</c:v>
                </c:pt>
                <c:pt idx="57">
                  <c:v>76</c:v>
                </c:pt>
                <c:pt idx="58">
                  <c:v>76</c:v>
                </c:pt>
                <c:pt idx="59">
                  <c:v>76</c:v>
                </c:pt>
                <c:pt idx="60">
                  <c:v>76</c:v>
                </c:pt>
                <c:pt idx="61">
                  <c:v>76</c:v>
                </c:pt>
                <c:pt idx="62">
                  <c:v>78</c:v>
                </c:pt>
                <c:pt idx="63">
                  <c:v>78</c:v>
                </c:pt>
                <c:pt idx="64">
                  <c:v>78</c:v>
                </c:pt>
                <c:pt idx="65">
                  <c:v>78</c:v>
                </c:pt>
                <c:pt idx="66">
                  <c:v>78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82</c:v>
                </c:pt>
                <c:pt idx="71">
                  <c:v>82</c:v>
                </c:pt>
                <c:pt idx="72">
                  <c:v>82</c:v>
                </c:pt>
                <c:pt idx="73">
                  <c:v>84</c:v>
                </c:pt>
                <c:pt idx="74">
                  <c:v>84</c:v>
                </c:pt>
                <c:pt idx="75">
                  <c:v>84</c:v>
                </c:pt>
                <c:pt idx="76">
                  <c:v>84</c:v>
                </c:pt>
                <c:pt idx="77">
                  <c:v>86</c:v>
                </c:pt>
                <c:pt idx="78">
                  <c:v>87</c:v>
                </c:pt>
                <c:pt idx="79">
                  <c:v>88</c:v>
                </c:pt>
                <c:pt idx="80">
                  <c:v>88</c:v>
                </c:pt>
                <c:pt idx="81">
                  <c:v>88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92</c:v>
                </c:pt>
                <c:pt idx="87">
                  <c:v>92</c:v>
                </c:pt>
                <c:pt idx="88">
                  <c:v>94</c:v>
                </c:pt>
                <c:pt idx="89">
                  <c:v>96</c:v>
                </c:pt>
                <c:pt idx="90">
                  <c:v>96</c:v>
                </c:pt>
                <c:pt idx="91">
                  <c:v>100</c:v>
                </c:pt>
              </c:numCache>
            </c:numRef>
          </c:xVal>
          <c:yVal>
            <c:numRef>
              <c:f>'3Male|P1'!$B$3:$B$94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788152"/>
        <c:axId val="137785016"/>
      </c:scatterChart>
      <c:valAx>
        <c:axId val="137788152"/>
        <c:scaling>
          <c:orientation val="minMax"/>
          <c:max val="12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Rest Pulse (bpm)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85016"/>
        <c:crosses val="autoZero"/>
        <c:crossBetween val="midCat"/>
        <c:majorUnit val="10"/>
      </c:valAx>
      <c:valAx>
        <c:axId val="13778501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8815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Rest Pulse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'3Male|P1'!$B$2</c:f>
              <c:strCache>
                <c:ptCount val="1"/>
                <c:pt idx="0">
                  <c:v>Male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'3Male|P1'!$A$3:$A$94</c:f>
              <c:numCache>
                <c:formatCode>General</c:formatCode>
                <c:ptCount val="92"/>
                <c:pt idx="0">
                  <c:v>48</c:v>
                </c:pt>
                <c:pt idx="1">
                  <c:v>54</c:v>
                </c:pt>
                <c:pt idx="2">
                  <c:v>54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61</c:v>
                </c:pt>
                <c:pt idx="11">
                  <c:v>62</c:v>
                </c:pt>
                <c:pt idx="12">
                  <c:v>62</c:v>
                </c:pt>
                <c:pt idx="13">
                  <c:v>62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66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72</c:v>
                </c:pt>
                <c:pt idx="47">
                  <c:v>72</c:v>
                </c:pt>
                <c:pt idx="48">
                  <c:v>72</c:v>
                </c:pt>
                <c:pt idx="49">
                  <c:v>72</c:v>
                </c:pt>
                <c:pt idx="50">
                  <c:v>72</c:v>
                </c:pt>
                <c:pt idx="51">
                  <c:v>72</c:v>
                </c:pt>
                <c:pt idx="52">
                  <c:v>74</c:v>
                </c:pt>
                <c:pt idx="53">
                  <c:v>74</c:v>
                </c:pt>
                <c:pt idx="54">
                  <c:v>74</c:v>
                </c:pt>
                <c:pt idx="55">
                  <c:v>74</c:v>
                </c:pt>
                <c:pt idx="56">
                  <c:v>74</c:v>
                </c:pt>
                <c:pt idx="57">
                  <c:v>76</c:v>
                </c:pt>
                <c:pt idx="58">
                  <c:v>76</c:v>
                </c:pt>
                <c:pt idx="59">
                  <c:v>76</c:v>
                </c:pt>
                <c:pt idx="60">
                  <c:v>76</c:v>
                </c:pt>
                <c:pt idx="61">
                  <c:v>76</c:v>
                </c:pt>
                <c:pt idx="62">
                  <c:v>78</c:v>
                </c:pt>
                <c:pt idx="63">
                  <c:v>78</c:v>
                </c:pt>
                <c:pt idx="64">
                  <c:v>78</c:v>
                </c:pt>
                <c:pt idx="65">
                  <c:v>78</c:v>
                </c:pt>
                <c:pt idx="66">
                  <c:v>78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82</c:v>
                </c:pt>
                <c:pt idx="71">
                  <c:v>82</c:v>
                </c:pt>
                <c:pt idx="72">
                  <c:v>82</c:v>
                </c:pt>
                <c:pt idx="73">
                  <c:v>84</c:v>
                </c:pt>
                <c:pt idx="74">
                  <c:v>84</c:v>
                </c:pt>
                <c:pt idx="75">
                  <c:v>84</c:v>
                </c:pt>
                <c:pt idx="76">
                  <c:v>84</c:v>
                </c:pt>
                <c:pt idx="77">
                  <c:v>86</c:v>
                </c:pt>
                <c:pt idx="78">
                  <c:v>87</c:v>
                </c:pt>
                <c:pt idx="79">
                  <c:v>88</c:v>
                </c:pt>
                <c:pt idx="80">
                  <c:v>88</c:v>
                </c:pt>
                <c:pt idx="81">
                  <c:v>88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92</c:v>
                </c:pt>
                <c:pt idx="87">
                  <c:v>92</c:v>
                </c:pt>
                <c:pt idx="88">
                  <c:v>94</c:v>
                </c:pt>
                <c:pt idx="89">
                  <c:v>96</c:v>
                </c:pt>
                <c:pt idx="90">
                  <c:v>96</c:v>
                </c:pt>
                <c:pt idx="91">
                  <c:v>100</c:v>
                </c:pt>
              </c:numCache>
            </c:numRef>
          </c:xVal>
          <c:yVal>
            <c:numRef>
              <c:f>'3Male|P1'!$B$3:$B$94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'3Male|P1'!$T$10</c:f>
              <c:strCache>
                <c:ptCount val="1"/>
                <c:pt idx="0">
                  <c:v>Prob Y=1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'3Male|P1'!$Q$11:$Q$51</c:f>
              <c:numCache>
                <c:formatCode>0</c:formatCode>
                <c:ptCount val="41"/>
                <c:pt idx="0">
                  <c:v>40</c:v>
                </c:pt>
                <c:pt idx="1">
                  <c:v>42</c:v>
                </c:pt>
                <c:pt idx="2">
                  <c:v>44</c:v>
                </c:pt>
                <c:pt idx="3">
                  <c:v>46</c:v>
                </c:pt>
                <c:pt idx="4">
                  <c:v>48</c:v>
                </c:pt>
                <c:pt idx="5">
                  <c:v>50</c:v>
                </c:pt>
                <c:pt idx="6">
                  <c:v>52</c:v>
                </c:pt>
                <c:pt idx="7">
                  <c:v>54</c:v>
                </c:pt>
                <c:pt idx="8">
                  <c:v>56</c:v>
                </c:pt>
                <c:pt idx="9">
                  <c:v>58</c:v>
                </c:pt>
                <c:pt idx="10">
                  <c:v>60</c:v>
                </c:pt>
                <c:pt idx="11">
                  <c:v>62</c:v>
                </c:pt>
                <c:pt idx="12">
                  <c:v>64</c:v>
                </c:pt>
                <c:pt idx="13">
                  <c:v>66</c:v>
                </c:pt>
                <c:pt idx="14">
                  <c:v>68</c:v>
                </c:pt>
                <c:pt idx="15">
                  <c:v>70</c:v>
                </c:pt>
                <c:pt idx="16">
                  <c:v>72</c:v>
                </c:pt>
                <c:pt idx="17">
                  <c:v>74</c:v>
                </c:pt>
                <c:pt idx="18">
                  <c:v>76</c:v>
                </c:pt>
                <c:pt idx="19">
                  <c:v>78</c:v>
                </c:pt>
                <c:pt idx="20">
                  <c:v>80</c:v>
                </c:pt>
                <c:pt idx="21">
                  <c:v>82</c:v>
                </c:pt>
                <c:pt idx="22">
                  <c:v>84</c:v>
                </c:pt>
                <c:pt idx="23">
                  <c:v>86</c:v>
                </c:pt>
                <c:pt idx="24">
                  <c:v>88</c:v>
                </c:pt>
                <c:pt idx="25">
                  <c:v>90</c:v>
                </c:pt>
                <c:pt idx="26">
                  <c:v>92</c:v>
                </c:pt>
                <c:pt idx="27">
                  <c:v>94</c:v>
                </c:pt>
                <c:pt idx="28">
                  <c:v>96</c:v>
                </c:pt>
                <c:pt idx="29">
                  <c:v>98</c:v>
                </c:pt>
                <c:pt idx="30">
                  <c:v>100</c:v>
                </c:pt>
                <c:pt idx="31">
                  <c:v>102</c:v>
                </c:pt>
                <c:pt idx="32">
                  <c:v>104</c:v>
                </c:pt>
                <c:pt idx="33">
                  <c:v>106</c:v>
                </c:pt>
                <c:pt idx="34">
                  <c:v>108</c:v>
                </c:pt>
                <c:pt idx="35">
                  <c:v>110</c:v>
                </c:pt>
                <c:pt idx="36">
                  <c:v>112</c:v>
                </c:pt>
                <c:pt idx="37">
                  <c:v>114</c:v>
                </c:pt>
                <c:pt idx="38">
                  <c:v>116</c:v>
                </c:pt>
                <c:pt idx="39">
                  <c:v>118</c:v>
                </c:pt>
                <c:pt idx="40">
                  <c:v>120</c:v>
                </c:pt>
              </c:numCache>
            </c:numRef>
          </c:xVal>
          <c:yVal>
            <c:numRef>
              <c:f>'3Male|P1'!$T$11:$T$51</c:f>
              <c:numCache>
                <c:formatCode>0%</c:formatCode>
                <c:ptCount val="41"/>
                <c:pt idx="0">
                  <c:v>0.91442459631528994</c:v>
                </c:pt>
                <c:pt idx="1">
                  <c:v>0.90522518136571273</c:v>
                </c:pt>
                <c:pt idx="2">
                  <c:v>0.89515021722737753</c:v>
                </c:pt>
                <c:pt idx="3">
                  <c:v>0.8841413192292561</c:v>
                </c:pt>
                <c:pt idx="4">
                  <c:v>0.87214162391963779</c:v>
                </c:pt>
                <c:pt idx="5">
                  <c:v>0.8590971642244164</c:v>
                </c:pt>
                <c:pt idx="6">
                  <c:v>0.84495845652466139</c:v>
                </c:pt>
                <c:pt idx="7">
                  <c:v>0.82968228499944618</c:v>
                </c:pt>
                <c:pt idx="8">
                  <c:v>0.81323365280325244</c:v>
                </c:pt>
                <c:pt idx="9">
                  <c:v>0.79558785115507635</c:v>
                </c:pt>
                <c:pt idx="10">
                  <c:v>0.77673257707894616</c:v>
                </c:pt>
                <c:pt idx="11">
                  <c:v>0.75667000978972154</c:v>
                </c:pt>
                <c:pt idx="12">
                  <c:v>0.73541873658526213</c:v>
                </c:pt>
                <c:pt idx="13">
                  <c:v>0.71301540411138775</c:v>
                </c:pt>
                <c:pt idx="14">
                  <c:v>0.68951596282864869</c:v>
                </c:pt>
                <c:pt idx="15">
                  <c:v>0.66499637419379565</c:v>
                </c:pt>
                <c:pt idx="16">
                  <c:v>0.63955266371427089</c:v>
                </c:pt>
                <c:pt idx="17">
                  <c:v>0.61330022982947174</c:v>
                </c:pt>
                <c:pt idx="18">
                  <c:v>0.58637235816706357</c:v>
                </c:pt>
                <c:pt idx="19">
                  <c:v>0.55891794090448821</c:v>
                </c:pt>
                <c:pt idx="20">
                  <c:v>0.5310984576300517</c:v>
                </c:pt>
                <c:pt idx="21">
                  <c:v>0.50308433158325028</c:v>
                </c:pt>
                <c:pt idx="22">
                  <c:v>0.47505082695210693</c:v>
                </c:pt>
                <c:pt idx="23">
                  <c:v>0.44717369264598811</c:v>
                </c:pt>
                <c:pt idx="24">
                  <c:v>0.41962478048806734</c:v>
                </c:pt>
                <c:pt idx="25">
                  <c:v>0.39256786806629257</c:v>
                </c:pt>
                <c:pt idx="26">
                  <c:v>0.36615489823467046</c:v>
                </c:pt>
                <c:pt idx="27">
                  <c:v>0.34052281092111331</c:v>
                </c:pt>
                <c:pt idx="28">
                  <c:v>0.31579109323072452</c:v>
                </c:pt>
                <c:pt idx="29">
                  <c:v>0.29206011702864132</c:v>
                </c:pt>
                <c:pt idx="30">
                  <c:v>0.26941027581333765</c:v>
                </c:pt>
                <c:pt idx="31">
                  <c:v>0.24790188066973781</c:v>
                </c:pt>
                <c:pt idx="32">
                  <c:v>0.22757573291137215</c:v>
                </c:pt>
                <c:pt idx="33">
                  <c:v>0.20845426131938838</c:v>
                </c:pt>
                <c:pt idx="34">
                  <c:v>0.19054309540439099</c:v>
                </c:pt>
                <c:pt idx="35">
                  <c:v>0.1738329419667809</c:v>
                </c:pt>
                <c:pt idx="36">
                  <c:v>0.15830163835783745</c:v>
                </c:pt>
                <c:pt idx="37">
                  <c:v>0.14391626955487519</c:v>
                </c:pt>
                <c:pt idx="38">
                  <c:v>0.13063525461771916</c:v>
                </c:pt>
                <c:pt idx="39">
                  <c:v>0.11841032867790527</c:v>
                </c:pt>
                <c:pt idx="40">
                  <c:v>0.10718836718314273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'3Male|P1'!$V$10</c:f>
              <c:strCache>
                <c:ptCount val="1"/>
                <c:pt idx="0">
                  <c:v>pY OLS2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'3Male|P1'!$Q$11:$Q$51</c:f>
              <c:numCache>
                <c:formatCode>0</c:formatCode>
                <c:ptCount val="41"/>
                <c:pt idx="0">
                  <c:v>40</c:v>
                </c:pt>
                <c:pt idx="1">
                  <c:v>42</c:v>
                </c:pt>
                <c:pt idx="2">
                  <c:v>44</c:v>
                </c:pt>
                <c:pt idx="3">
                  <c:v>46</c:v>
                </c:pt>
                <c:pt idx="4">
                  <c:v>48</c:v>
                </c:pt>
                <c:pt idx="5">
                  <c:v>50</c:v>
                </c:pt>
                <c:pt idx="6">
                  <c:v>52</c:v>
                </c:pt>
                <c:pt idx="7">
                  <c:v>54</c:v>
                </c:pt>
                <c:pt idx="8">
                  <c:v>56</c:v>
                </c:pt>
                <c:pt idx="9">
                  <c:v>58</c:v>
                </c:pt>
                <c:pt idx="10">
                  <c:v>60</c:v>
                </c:pt>
                <c:pt idx="11">
                  <c:v>62</c:v>
                </c:pt>
                <c:pt idx="12">
                  <c:v>64</c:v>
                </c:pt>
                <c:pt idx="13">
                  <c:v>66</c:v>
                </c:pt>
                <c:pt idx="14">
                  <c:v>68</c:v>
                </c:pt>
                <c:pt idx="15">
                  <c:v>70</c:v>
                </c:pt>
                <c:pt idx="16">
                  <c:v>72</c:v>
                </c:pt>
                <c:pt idx="17">
                  <c:v>74</c:v>
                </c:pt>
                <c:pt idx="18">
                  <c:v>76</c:v>
                </c:pt>
                <c:pt idx="19">
                  <c:v>78</c:v>
                </c:pt>
                <c:pt idx="20">
                  <c:v>80</c:v>
                </c:pt>
                <c:pt idx="21">
                  <c:v>82</c:v>
                </c:pt>
                <c:pt idx="22">
                  <c:v>84</c:v>
                </c:pt>
                <c:pt idx="23">
                  <c:v>86</c:v>
                </c:pt>
                <c:pt idx="24">
                  <c:v>88</c:v>
                </c:pt>
                <c:pt idx="25">
                  <c:v>90</c:v>
                </c:pt>
                <c:pt idx="26">
                  <c:v>92</c:v>
                </c:pt>
                <c:pt idx="27">
                  <c:v>94</c:v>
                </c:pt>
                <c:pt idx="28">
                  <c:v>96</c:v>
                </c:pt>
                <c:pt idx="29">
                  <c:v>98</c:v>
                </c:pt>
                <c:pt idx="30">
                  <c:v>100</c:v>
                </c:pt>
                <c:pt idx="31">
                  <c:v>102</c:v>
                </c:pt>
                <c:pt idx="32">
                  <c:v>104</c:v>
                </c:pt>
                <c:pt idx="33">
                  <c:v>106</c:v>
                </c:pt>
                <c:pt idx="34">
                  <c:v>108</c:v>
                </c:pt>
                <c:pt idx="35">
                  <c:v>110</c:v>
                </c:pt>
                <c:pt idx="36">
                  <c:v>112</c:v>
                </c:pt>
                <c:pt idx="37">
                  <c:v>114</c:v>
                </c:pt>
                <c:pt idx="38">
                  <c:v>116</c:v>
                </c:pt>
                <c:pt idx="39">
                  <c:v>118</c:v>
                </c:pt>
                <c:pt idx="40">
                  <c:v>120</c:v>
                </c:pt>
              </c:numCache>
            </c:numRef>
          </c:xVal>
          <c:yVal>
            <c:numRef>
              <c:f>'3Male|P1'!$V$11:$V$51</c:f>
              <c:numCache>
                <c:formatCode>0.00</c:formatCode>
                <c:ptCount val="41"/>
                <c:pt idx="0">
                  <c:v>5.7266355140186853</c:v>
                </c:pt>
                <c:pt idx="1">
                  <c:v>5.4158878504672838</c:v>
                </c:pt>
                <c:pt idx="2">
                  <c:v>5.1051401869158823</c:v>
                </c:pt>
                <c:pt idx="3">
                  <c:v>4.7943925233644809</c:v>
                </c:pt>
                <c:pt idx="4">
                  <c:v>4.4836448598130794</c:v>
                </c:pt>
                <c:pt idx="5">
                  <c:v>4.1728971962616779</c:v>
                </c:pt>
                <c:pt idx="6">
                  <c:v>3.8621495327102759</c:v>
                </c:pt>
                <c:pt idx="7">
                  <c:v>3.551401869158874</c:v>
                </c:pt>
                <c:pt idx="8">
                  <c:v>3.2406542056074725</c:v>
                </c:pt>
                <c:pt idx="9">
                  <c:v>2.929906542056071</c:v>
                </c:pt>
                <c:pt idx="10">
                  <c:v>2.6191588785046696</c:v>
                </c:pt>
                <c:pt idx="11">
                  <c:v>2.3084112149532681</c:v>
                </c:pt>
                <c:pt idx="12">
                  <c:v>1.9976635514018666</c:v>
                </c:pt>
                <c:pt idx="13">
                  <c:v>1.6869158878504651</c:v>
                </c:pt>
                <c:pt idx="14">
                  <c:v>1.3761682242990636</c:v>
                </c:pt>
                <c:pt idx="15">
                  <c:v>1.0654205607476621</c:v>
                </c:pt>
                <c:pt idx="16">
                  <c:v>0.75467289719626041</c:v>
                </c:pt>
                <c:pt idx="17">
                  <c:v>0.44392523364485892</c:v>
                </c:pt>
                <c:pt idx="18">
                  <c:v>0.13317757009345738</c:v>
                </c:pt>
                <c:pt idx="19">
                  <c:v>-0.17757009345794417</c:v>
                </c:pt>
                <c:pt idx="20">
                  <c:v>-0.48831775700934565</c:v>
                </c:pt>
                <c:pt idx="21">
                  <c:v>-0.79906542056074736</c:v>
                </c:pt>
                <c:pt idx="22">
                  <c:v>-1.1098130841121487</c:v>
                </c:pt>
                <c:pt idx="23">
                  <c:v>-1.4205607476635507</c:v>
                </c:pt>
                <c:pt idx="24">
                  <c:v>-1.7313084112149522</c:v>
                </c:pt>
                <c:pt idx="25">
                  <c:v>-2.0420560747663536</c:v>
                </c:pt>
                <c:pt idx="26">
                  <c:v>-2.3528037383177551</c:v>
                </c:pt>
                <c:pt idx="27">
                  <c:v>-2.6635514018691566</c:v>
                </c:pt>
                <c:pt idx="28">
                  <c:v>-2.9742990654205581</c:v>
                </c:pt>
                <c:pt idx="29">
                  <c:v>-3.2850467289719596</c:v>
                </c:pt>
                <c:pt idx="30">
                  <c:v>-3.5957943925233615</c:v>
                </c:pt>
                <c:pt idx="31">
                  <c:v>-3.906542056074763</c:v>
                </c:pt>
                <c:pt idx="32">
                  <c:v>-4.2172897196261641</c:v>
                </c:pt>
                <c:pt idx="33">
                  <c:v>-4.5280373831775655</c:v>
                </c:pt>
                <c:pt idx="34">
                  <c:v>-4.838785046728967</c:v>
                </c:pt>
                <c:pt idx="35">
                  <c:v>-5.1495327102803685</c:v>
                </c:pt>
                <c:pt idx="36">
                  <c:v>-5.46028037383177</c:v>
                </c:pt>
                <c:pt idx="37">
                  <c:v>-5.7710280373831715</c:v>
                </c:pt>
                <c:pt idx="38">
                  <c:v>-6.081775700934573</c:v>
                </c:pt>
                <c:pt idx="39">
                  <c:v>-6.3925233644859745</c:v>
                </c:pt>
                <c:pt idx="40">
                  <c:v>-6.703271028037376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686840"/>
        <c:axId val="302692720"/>
      </c:scatterChart>
      <c:valAx>
        <c:axId val="30268684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Rest Pulse (bpm)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692720"/>
        <c:crosses val="autoZero"/>
        <c:crossBetween val="midCat"/>
        <c:majorUnit val="10"/>
      </c:valAx>
      <c:valAx>
        <c:axId val="3026927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268684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Rest Pulse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'3Male|P1'!$A$2</c:f>
              <c:strCache>
                <c:ptCount val="1"/>
                <c:pt idx="0">
                  <c:v>Pulse1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'3Male|P1'!$A$3:$A$94</c:f>
              <c:numCache>
                <c:formatCode>General</c:formatCode>
                <c:ptCount val="92"/>
                <c:pt idx="0">
                  <c:v>48</c:v>
                </c:pt>
                <c:pt idx="1">
                  <c:v>54</c:v>
                </c:pt>
                <c:pt idx="2">
                  <c:v>54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61</c:v>
                </c:pt>
                <c:pt idx="11">
                  <c:v>62</c:v>
                </c:pt>
                <c:pt idx="12">
                  <c:v>62</c:v>
                </c:pt>
                <c:pt idx="13">
                  <c:v>62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66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72</c:v>
                </c:pt>
                <c:pt idx="47">
                  <c:v>72</c:v>
                </c:pt>
                <c:pt idx="48">
                  <c:v>72</c:v>
                </c:pt>
                <c:pt idx="49">
                  <c:v>72</c:v>
                </c:pt>
                <c:pt idx="50">
                  <c:v>72</c:v>
                </c:pt>
                <c:pt idx="51">
                  <c:v>72</c:v>
                </c:pt>
                <c:pt idx="52">
                  <c:v>74</c:v>
                </c:pt>
                <c:pt idx="53">
                  <c:v>74</c:v>
                </c:pt>
                <c:pt idx="54">
                  <c:v>74</c:v>
                </c:pt>
                <c:pt idx="55">
                  <c:v>74</c:v>
                </c:pt>
                <c:pt idx="56">
                  <c:v>74</c:v>
                </c:pt>
                <c:pt idx="57">
                  <c:v>76</c:v>
                </c:pt>
                <c:pt idx="58">
                  <c:v>76</c:v>
                </c:pt>
                <c:pt idx="59">
                  <c:v>76</c:v>
                </c:pt>
                <c:pt idx="60">
                  <c:v>76</c:v>
                </c:pt>
                <c:pt idx="61">
                  <c:v>76</c:v>
                </c:pt>
                <c:pt idx="62">
                  <c:v>78</c:v>
                </c:pt>
                <c:pt idx="63">
                  <c:v>78</c:v>
                </c:pt>
                <c:pt idx="64">
                  <c:v>78</c:v>
                </c:pt>
                <c:pt idx="65">
                  <c:v>78</c:v>
                </c:pt>
                <c:pt idx="66">
                  <c:v>78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82</c:v>
                </c:pt>
                <c:pt idx="71">
                  <c:v>82</c:v>
                </c:pt>
                <c:pt idx="72">
                  <c:v>82</c:v>
                </c:pt>
                <c:pt idx="73">
                  <c:v>84</c:v>
                </c:pt>
                <c:pt idx="74">
                  <c:v>84</c:v>
                </c:pt>
                <c:pt idx="75">
                  <c:v>84</c:v>
                </c:pt>
                <c:pt idx="76">
                  <c:v>84</c:v>
                </c:pt>
                <c:pt idx="77">
                  <c:v>86</c:v>
                </c:pt>
                <c:pt idx="78">
                  <c:v>87</c:v>
                </c:pt>
                <c:pt idx="79">
                  <c:v>88</c:v>
                </c:pt>
                <c:pt idx="80">
                  <c:v>88</c:v>
                </c:pt>
                <c:pt idx="81">
                  <c:v>88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92</c:v>
                </c:pt>
                <c:pt idx="87">
                  <c:v>92</c:v>
                </c:pt>
                <c:pt idx="88">
                  <c:v>94</c:v>
                </c:pt>
                <c:pt idx="89">
                  <c:v>96</c:v>
                </c:pt>
                <c:pt idx="90">
                  <c:v>96</c:v>
                </c:pt>
                <c:pt idx="91">
                  <c:v>100</c:v>
                </c:pt>
              </c:numCache>
            </c:numRef>
          </c:xVal>
          <c:yVal>
            <c:numRef>
              <c:f>'3Male|P1'!$B$3:$B$94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'3Male|P1'!$Q$10</c:f>
              <c:strCache>
                <c:ptCount val="1"/>
                <c:pt idx="0">
                  <c:v>Q-Axis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'3Male|P1'!$Q$11:$Q$51</c:f>
              <c:numCache>
                <c:formatCode>0</c:formatCode>
                <c:ptCount val="41"/>
                <c:pt idx="0">
                  <c:v>40</c:v>
                </c:pt>
                <c:pt idx="1">
                  <c:v>42</c:v>
                </c:pt>
                <c:pt idx="2">
                  <c:v>44</c:v>
                </c:pt>
                <c:pt idx="3">
                  <c:v>46</c:v>
                </c:pt>
                <c:pt idx="4">
                  <c:v>48</c:v>
                </c:pt>
                <c:pt idx="5">
                  <c:v>50</c:v>
                </c:pt>
                <c:pt idx="6">
                  <c:v>52</c:v>
                </c:pt>
                <c:pt idx="7">
                  <c:v>54</c:v>
                </c:pt>
                <c:pt idx="8">
                  <c:v>56</c:v>
                </c:pt>
                <c:pt idx="9">
                  <c:v>58</c:v>
                </c:pt>
                <c:pt idx="10">
                  <c:v>60</c:v>
                </c:pt>
                <c:pt idx="11">
                  <c:v>62</c:v>
                </c:pt>
                <c:pt idx="12">
                  <c:v>64</c:v>
                </c:pt>
                <c:pt idx="13">
                  <c:v>66</c:v>
                </c:pt>
                <c:pt idx="14">
                  <c:v>68</c:v>
                </c:pt>
                <c:pt idx="15">
                  <c:v>70</c:v>
                </c:pt>
                <c:pt idx="16">
                  <c:v>72</c:v>
                </c:pt>
                <c:pt idx="17">
                  <c:v>74</c:v>
                </c:pt>
                <c:pt idx="18">
                  <c:v>76</c:v>
                </c:pt>
                <c:pt idx="19">
                  <c:v>78</c:v>
                </c:pt>
                <c:pt idx="20">
                  <c:v>80</c:v>
                </c:pt>
                <c:pt idx="21">
                  <c:v>82</c:v>
                </c:pt>
                <c:pt idx="22">
                  <c:v>84</c:v>
                </c:pt>
                <c:pt idx="23">
                  <c:v>86</c:v>
                </c:pt>
                <c:pt idx="24">
                  <c:v>88</c:v>
                </c:pt>
                <c:pt idx="25">
                  <c:v>90</c:v>
                </c:pt>
                <c:pt idx="26">
                  <c:v>92</c:v>
                </c:pt>
                <c:pt idx="27">
                  <c:v>94</c:v>
                </c:pt>
                <c:pt idx="28">
                  <c:v>96</c:v>
                </c:pt>
                <c:pt idx="29">
                  <c:v>98</c:v>
                </c:pt>
                <c:pt idx="30">
                  <c:v>100</c:v>
                </c:pt>
                <c:pt idx="31">
                  <c:v>102</c:v>
                </c:pt>
                <c:pt idx="32">
                  <c:v>104</c:v>
                </c:pt>
                <c:pt idx="33">
                  <c:v>106</c:v>
                </c:pt>
                <c:pt idx="34">
                  <c:v>108</c:v>
                </c:pt>
                <c:pt idx="35">
                  <c:v>110</c:v>
                </c:pt>
                <c:pt idx="36">
                  <c:v>112</c:v>
                </c:pt>
                <c:pt idx="37">
                  <c:v>114</c:v>
                </c:pt>
                <c:pt idx="38">
                  <c:v>116</c:v>
                </c:pt>
                <c:pt idx="39">
                  <c:v>118</c:v>
                </c:pt>
                <c:pt idx="40">
                  <c:v>120</c:v>
                </c:pt>
              </c:numCache>
            </c:numRef>
          </c:xVal>
          <c:yVal>
            <c:numRef>
              <c:f>'3Male|P1'!$T$11:$T$51</c:f>
              <c:numCache>
                <c:formatCode>0%</c:formatCode>
                <c:ptCount val="41"/>
                <c:pt idx="0">
                  <c:v>0.91442459631528994</c:v>
                </c:pt>
                <c:pt idx="1">
                  <c:v>0.90522518136571273</c:v>
                </c:pt>
                <c:pt idx="2">
                  <c:v>0.89515021722737753</c:v>
                </c:pt>
                <c:pt idx="3">
                  <c:v>0.8841413192292561</c:v>
                </c:pt>
                <c:pt idx="4">
                  <c:v>0.87214162391963779</c:v>
                </c:pt>
                <c:pt idx="5">
                  <c:v>0.8590971642244164</c:v>
                </c:pt>
                <c:pt idx="6">
                  <c:v>0.84495845652466139</c:v>
                </c:pt>
                <c:pt idx="7">
                  <c:v>0.82968228499944618</c:v>
                </c:pt>
                <c:pt idx="8">
                  <c:v>0.81323365280325244</c:v>
                </c:pt>
                <c:pt idx="9">
                  <c:v>0.79558785115507635</c:v>
                </c:pt>
                <c:pt idx="10">
                  <c:v>0.77673257707894616</c:v>
                </c:pt>
                <c:pt idx="11">
                  <c:v>0.75667000978972154</c:v>
                </c:pt>
                <c:pt idx="12">
                  <c:v>0.73541873658526213</c:v>
                </c:pt>
                <c:pt idx="13">
                  <c:v>0.71301540411138775</c:v>
                </c:pt>
                <c:pt idx="14">
                  <c:v>0.68951596282864869</c:v>
                </c:pt>
                <c:pt idx="15">
                  <c:v>0.66499637419379565</c:v>
                </c:pt>
                <c:pt idx="16">
                  <c:v>0.63955266371427089</c:v>
                </c:pt>
                <c:pt idx="17">
                  <c:v>0.61330022982947174</c:v>
                </c:pt>
                <c:pt idx="18">
                  <c:v>0.58637235816706357</c:v>
                </c:pt>
                <c:pt idx="19">
                  <c:v>0.55891794090448821</c:v>
                </c:pt>
                <c:pt idx="20">
                  <c:v>0.5310984576300517</c:v>
                </c:pt>
                <c:pt idx="21">
                  <c:v>0.50308433158325028</c:v>
                </c:pt>
                <c:pt idx="22">
                  <c:v>0.47505082695210693</c:v>
                </c:pt>
                <c:pt idx="23">
                  <c:v>0.44717369264598811</c:v>
                </c:pt>
                <c:pt idx="24">
                  <c:v>0.41962478048806734</c:v>
                </c:pt>
                <c:pt idx="25">
                  <c:v>0.39256786806629257</c:v>
                </c:pt>
                <c:pt idx="26">
                  <c:v>0.36615489823467046</c:v>
                </c:pt>
                <c:pt idx="27">
                  <c:v>0.34052281092111331</c:v>
                </c:pt>
                <c:pt idx="28">
                  <c:v>0.31579109323072452</c:v>
                </c:pt>
                <c:pt idx="29">
                  <c:v>0.29206011702864132</c:v>
                </c:pt>
                <c:pt idx="30">
                  <c:v>0.26941027581333765</c:v>
                </c:pt>
                <c:pt idx="31">
                  <c:v>0.24790188066973781</c:v>
                </c:pt>
                <c:pt idx="32">
                  <c:v>0.22757573291137215</c:v>
                </c:pt>
                <c:pt idx="33">
                  <c:v>0.20845426131938838</c:v>
                </c:pt>
                <c:pt idx="34">
                  <c:v>0.19054309540439099</c:v>
                </c:pt>
                <c:pt idx="35">
                  <c:v>0.1738329419667809</c:v>
                </c:pt>
                <c:pt idx="36">
                  <c:v>0.15830163835783745</c:v>
                </c:pt>
                <c:pt idx="37">
                  <c:v>0.14391626955487519</c:v>
                </c:pt>
                <c:pt idx="38">
                  <c:v>0.13063525461771916</c:v>
                </c:pt>
                <c:pt idx="39">
                  <c:v>0.11841032867790527</c:v>
                </c:pt>
                <c:pt idx="40">
                  <c:v>0.10718836718314273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117720"/>
        <c:axId val="241118504"/>
      </c:scatterChart>
      <c:valAx>
        <c:axId val="241117720"/>
        <c:scaling>
          <c:orientation val="minMax"/>
          <c:max val="120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Rest Pulse (bpm)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118504"/>
        <c:crosses val="autoZero"/>
        <c:crossBetween val="midCat"/>
        <c:majorUnit val="10"/>
      </c:valAx>
      <c:valAx>
        <c:axId val="2411185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117720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Rest Pulse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'3Male|P1'!$B$2</c:f>
              <c:strCache>
                <c:ptCount val="1"/>
                <c:pt idx="0">
                  <c:v>Male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'3Male|P1'!$A$3:$A$94</c:f>
              <c:numCache>
                <c:formatCode>General</c:formatCode>
                <c:ptCount val="92"/>
                <c:pt idx="0">
                  <c:v>48</c:v>
                </c:pt>
                <c:pt idx="1">
                  <c:v>54</c:v>
                </c:pt>
                <c:pt idx="2">
                  <c:v>54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61</c:v>
                </c:pt>
                <c:pt idx="11">
                  <c:v>62</c:v>
                </c:pt>
                <c:pt idx="12">
                  <c:v>62</c:v>
                </c:pt>
                <c:pt idx="13">
                  <c:v>62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  <c:pt idx="20">
                  <c:v>64</c:v>
                </c:pt>
                <c:pt idx="21">
                  <c:v>64</c:v>
                </c:pt>
                <c:pt idx="22">
                  <c:v>64</c:v>
                </c:pt>
                <c:pt idx="23">
                  <c:v>64</c:v>
                </c:pt>
                <c:pt idx="24">
                  <c:v>66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66</c:v>
                </c:pt>
                <c:pt idx="29">
                  <c:v>68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70</c:v>
                </c:pt>
                <c:pt idx="41">
                  <c:v>70</c:v>
                </c:pt>
                <c:pt idx="42">
                  <c:v>70</c:v>
                </c:pt>
                <c:pt idx="43">
                  <c:v>70</c:v>
                </c:pt>
                <c:pt idx="44">
                  <c:v>70</c:v>
                </c:pt>
                <c:pt idx="45">
                  <c:v>70</c:v>
                </c:pt>
                <c:pt idx="46">
                  <c:v>72</c:v>
                </c:pt>
                <c:pt idx="47">
                  <c:v>72</c:v>
                </c:pt>
                <c:pt idx="48">
                  <c:v>72</c:v>
                </c:pt>
                <c:pt idx="49">
                  <c:v>72</c:v>
                </c:pt>
                <c:pt idx="50">
                  <c:v>72</c:v>
                </c:pt>
                <c:pt idx="51">
                  <c:v>72</c:v>
                </c:pt>
                <c:pt idx="52">
                  <c:v>74</c:v>
                </c:pt>
                <c:pt idx="53">
                  <c:v>74</c:v>
                </c:pt>
                <c:pt idx="54">
                  <c:v>74</c:v>
                </c:pt>
                <c:pt idx="55">
                  <c:v>74</c:v>
                </c:pt>
                <c:pt idx="56">
                  <c:v>74</c:v>
                </c:pt>
                <c:pt idx="57">
                  <c:v>76</c:v>
                </c:pt>
                <c:pt idx="58">
                  <c:v>76</c:v>
                </c:pt>
                <c:pt idx="59">
                  <c:v>76</c:v>
                </c:pt>
                <c:pt idx="60">
                  <c:v>76</c:v>
                </c:pt>
                <c:pt idx="61">
                  <c:v>76</c:v>
                </c:pt>
                <c:pt idx="62">
                  <c:v>78</c:v>
                </c:pt>
                <c:pt idx="63">
                  <c:v>78</c:v>
                </c:pt>
                <c:pt idx="64">
                  <c:v>78</c:v>
                </c:pt>
                <c:pt idx="65">
                  <c:v>78</c:v>
                </c:pt>
                <c:pt idx="66">
                  <c:v>78</c:v>
                </c:pt>
                <c:pt idx="67">
                  <c:v>80</c:v>
                </c:pt>
                <c:pt idx="68">
                  <c:v>80</c:v>
                </c:pt>
                <c:pt idx="69">
                  <c:v>80</c:v>
                </c:pt>
                <c:pt idx="70">
                  <c:v>82</c:v>
                </c:pt>
                <c:pt idx="71">
                  <c:v>82</c:v>
                </c:pt>
                <c:pt idx="72">
                  <c:v>82</c:v>
                </c:pt>
                <c:pt idx="73">
                  <c:v>84</c:v>
                </c:pt>
                <c:pt idx="74">
                  <c:v>84</c:v>
                </c:pt>
                <c:pt idx="75">
                  <c:v>84</c:v>
                </c:pt>
                <c:pt idx="76">
                  <c:v>84</c:v>
                </c:pt>
                <c:pt idx="77">
                  <c:v>86</c:v>
                </c:pt>
                <c:pt idx="78">
                  <c:v>87</c:v>
                </c:pt>
                <c:pt idx="79">
                  <c:v>88</c:v>
                </c:pt>
                <c:pt idx="80">
                  <c:v>88</c:v>
                </c:pt>
                <c:pt idx="81">
                  <c:v>88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92</c:v>
                </c:pt>
                <c:pt idx="87">
                  <c:v>92</c:v>
                </c:pt>
                <c:pt idx="88">
                  <c:v>94</c:v>
                </c:pt>
                <c:pt idx="89">
                  <c:v>96</c:v>
                </c:pt>
                <c:pt idx="90">
                  <c:v>96</c:v>
                </c:pt>
                <c:pt idx="91">
                  <c:v>100</c:v>
                </c:pt>
              </c:numCache>
            </c:numRef>
          </c:xVal>
          <c:yVal>
            <c:numRef>
              <c:f>'3Male|P1'!$B$3:$B$94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'3Male|P1'!$V$10</c:f>
              <c:strCache>
                <c:ptCount val="1"/>
                <c:pt idx="0">
                  <c:v>pY OLS2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'3Male|P1'!$Q$11:$Q$51</c:f>
              <c:numCache>
                <c:formatCode>0</c:formatCode>
                <c:ptCount val="41"/>
                <c:pt idx="0">
                  <c:v>40</c:v>
                </c:pt>
                <c:pt idx="1">
                  <c:v>42</c:v>
                </c:pt>
                <c:pt idx="2">
                  <c:v>44</c:v>
                </c:pt>
                <c:pt idx="3">
                  <c:v>46</c:v>
                </c:pt>
                <c:pt idx="4">
                  <c:v>48</c:v>
                </c:pt>
                <c:pt idx="5">
                  <c:v>50</c:v>
                </c:pt>
                <c:pt idx="6">
                  <c:v>52</c:v>
                </c:pt>
                <c:pt idx="7">
                  <c:v>54</c:v>
                </c:pt>
                <c:pt idx="8">
                  <c:v>56</c:v>
                </c:pt>
                <c:pt idx="9">
                  <c:v>58</c:v>
                </c:pt>
                <c:pt idx="10">
                  <c:v>60</c:v>
                </c:pt>
                <c:pt idx="11">
                  <c:v>62</c:v>
                </c:pt>
                <c:pt idx="12">
                  <c:v>64</c:v>
                </c:pt>
                <c:pt idx="13">
                  <c:v>66</c:v>
                </c:pt>
                <c:pt idx="14">
                  <c:v>68</c:v>
                </c:pt>
                <c:pt idx="15">
                  <c:v>70</c:v>
                </c:pt>
                <c:pt idx="16">
                  <c:v>72</c:v>
                </c:pt>
                <c:pt idx="17">
                  <c:v>74</c:v>
                </c:pt>
                <c:pt idx="18">
                  <c:v>76</c:v>
                </c:pt>
                <c:pt idx="19">
                  <c:v>78</c:v>
                </c:pt>
                <c:pt idx="20">
                  <c:v>80</c:v>
                </c:pt>
                <c:pt idx="21">
                  <c:v>82</c:v>
                </c:pt>
                <c:pt idx="22">
                  <c:v>84</c:v>
                </c:pt>
                <c:pt idx="23">
                  <c:v>86</c:v>
                </c:pt>
                <c:pt idx="24">
                  <c:v>88</c:v>
                </c:pt>
                <c:pt idx="25">
                  <c:v>90</c:v>
                </c:pt>
                <c:pt idx="26">
                  <c:v>92</c:v>
                </c:pt>
                <c:pt idx="27">
                  <c:v>94</c:v>
                </c:pt>
                <c:pt idx="28">
                  <c:v>96</c:v>
                </c:pt>
                <c:pt idx="29">
                  <c:v>98</c:v>
                </c:pt>
                <c:pt idx="30">
                  <c:v>100</c:v>
                </c:pt>
                <c:pt idx="31">
                  <c:v>102</c:v>
                </c:pt>
                <c:pt idx="32">
                  <c:v>104</c:v>
                </c:pt>
                <c:pt idx="33">
                  <c:v>106</c:v>
                </c:pt>
                <c:pt idx="34">
                  <c:v>108</c:v>
                </c:pt>
                <c:pt idx="35">
                  <c:v>110</c:v>
                </c:pt>
                <c:pt idx="36">
                  <c:v>112</c:v>
                </c:pt>
                <c:pt idx="37">
                  <c:v>114</c:v>
                </c:pt>
                <c:pt idx="38">
                  <c:v>116</c:v>
                </c:pt>
                <c:pt idx="39">
                  <c:v>118</c:v>
                </c:pt>
                <c:pt idx="40">
                  <c:v>120</c:v>
                </c:pt>
              </c:numCache>
            </c:numRef>
          </c:xVal>
          <c:yVal>
            <c:numRef>
              <c:f>'3Male|P1'!$V$11:$V$51</c:f>
              <c:numCache>
                <c:formatCode>0.00</c:formatCode>
                <c:ptCount val="41"/>
                <c:pt idx="0">
                  <c:v>5.7266355140186853</c:v>
                </c:pt>
                <c:pt idx="1">
                  <c:v>5.4158878504672838</c:v>
                </c:pt>
                <c:pt idx="2">
                  <c:v>5.1051401869158823</c:v>
                </c:pt>
                <c:pt idx="3">
                  <c:v>4.7943925233644809</c:v>
                </c:pt>
                <c:pt idx="4">
                  <c:v>4.4836448598130794</c:v>
                </c:pt>
                <c:pt idx="5">
                  <c:v>4.1728971962616779</c:v>
                </c:pt>
                <c:pt idx="6">
                  <c:v>3.8621495327102759</c:v>
                </c:pt>
                <c:pt idx="7">
                  <c:v>3.551401869158874</c:v>
                </c:pt>
                <c:pt idx="8">
                  <c:v>3.2406542056074725</c:v>
                </c:pt>
                <c:pt idx="9">
                  <c:v>2.929906542056071</c:v>
                </c:pt>
                <c:pt idx="10">
                  <c:v>2.6191588785046696</c:v>
                </c:pt>
                <c:pt idx="11">
                  <c:v>2.3084112149532681</c:v>
                </c:pt>
                <c:pt idx="12">
                  <c:v>1.9976635514018666</c:v>
                </c:pt>
                <c:pt idx="13">
                  <c:v>1.6869158878504651</c:v>
                </c:pt>
                <c:pt idx="14">
                  <c:v>1.3761682242990636</c:v>
                </c:pt>
                <c:pt idx="15">
                  <c:v>1.0654205607476621</c:v>
                </c:pt>
                <c:pt idx="16">
                  <c:v>0.75467289719626041</c:v>
                </c:pt>
                <c:pt idx="17">
                  <c:v>0.44392523364485892</c:v>
                </c:pt>
                <c:pt idx="18">
                  <c:v>0.13317757009345738</c:v>
                </c:pt>
                <c:pt idx="19">
                  <c:v>-0.17757009345794417</c:v>
                </c:pt>
                <c:pt idx="20">
                  <c:v>-0.48831775700934565</c:v>
                </c:pt>
                <c:pt idx="21">
                  <c:v>-0.79906542056074736</c:v>
                </c:pt>
                <c:pt idx="22">
                  <c:v>-1.1098130841121487</c:v>
                </c:pt>
                <c:pt idx="23">
                  <c:v>-1.4205607476635507</c:v>
                </c:pt>
                <c:pt idx="24">
                  <c:v>-1.7313084112149522</c:v>
                </c:pt>
                <c:pt idx="25">
                  <c:v>-2.0420560747663536</c:v>
                </c:pt>
                <c:pt idx="26">
                  <c:v>-2.3528037383177551</c:v>
                </c:pt>
                <c:pt idx="27">
                  <c:v>-2.6635514018691566</c:v>
                </c:pt>
                <c:pt idx="28">
                  <c:v>-2.9742990654205581</c:v>
                </c:pt>
                <c:pt idx="29">
                  <c:v>-3.2850467289719596</c:v>
                </c:pt>
                <c:pt idx="30">
                  <c:v>-3.5957943925233615</c:v>
                </c:pt>
                <c:pt idx="31">
                  <c:v>-3.906542056074763</c:v>
                </c:pt>
                <c:pt idx="32">
                  <c:v>-4.2172897196261641</c:v>
                </c:pt>
                <c:pt idx="33">
                  <c:v>-4.5280373831775655</c:v>
                </c:pt>
                <c:pt idx="34">
                  <c:v>-4.838785046728967</c:v>
                </c:pt>
                <c:pt idx="35">
                  <c:v>-5.1495327102803685</c:v>
                </c:pt>
                <c:pt idx="36">
                  <c:v>-5.46028037383177</c:v>
                </c:pt>
                <c:pt idx="37">
                  <c:v>-5.7710280373831715</c:v>
                </c:pt>
                <c:pt idx="38">
                  <c:v>-6.081775700934573</c:v>
                </c:pt>
                <c:pt idx="39">
                  <c:v>-6.3925233644859745</c:v>
                </c:pt>
                <c:pt idx="40">
                  <c:v>-6.703271028037376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010952"/>
        <c:axId val="300012128"/>
      </c:scatterChart>
      <c:valAx>
        <c:axId val="300010952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Rest Pulse (bpm)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012128"/>
        <c:crosses val="autoZero"/>
        <c:crossBetween val="midCat"/>
        <c:majorUnit val="10"/>
      </c:valAx>
      <c:valAx>
        <c:axId val="30001212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001095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Height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'1Male|Ht'!$A$2</c:f>
              <c:strCache>
                <c:ptCount val="1"/>
                <c:pt idx="0">
                  <c:v>Weight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2540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'1Male|Ht'!$A$3:$A$94</c:f>
              <c:numCache>
                <c:formatCode>General</c:formatCode>
                <c:ptCount val="92"/>
                <c:pt idx="0">
                  <c:v>68</c:v>
                </c:pt>
                <c:pt idx="1">
                  <c:v>69</c:v>
                </c:pt>
                <c:pt idx="2">
                  <c:v>69</c:v>
                </c:pt>
                <c:pt idx="3">
                  <c:v>72</c:v>
                </c:pt>
                <c:pt idx="4">
                  <c:v>66</c:v>
                </c:pt>
                <c:pt idx="5">
                  <c:v>67</c:v>
                </c:pt>
                <c:pt idx="6">
                  <c:v>71</c:v>
                </c:pt>
                <c:pt idx="7">
                  <c:v>71</c:v>
                </c:pt>
                <c:pt idx="8">
                  <c:v>71.5</c:v>
                </c:pt>
                <c:pt idx="9">
                  <c:v>62</c:v>
                </c:pt>
                <c:pt idx="10">
                  <c:v>65.5</c:v>
                </c:pt>
                <c:pt idx="11">
                  <c:v>73.5</c:v>
                </c:pt>
                <c:pt idx="12">
                  <c:v>72</c:v>
                </c:pt>
                <c:pt idx="13">
                  <c:v>72</c:v>
                </c:pt>
                <c:pt idx="14">
                  <c:v>66</c:v>
                </c:pt>
                <c:pt idx="15">
                  <c:v>62.75</c:v>
                </c:pt>
                <c:pt idx="16">
                  <c:v>74</c:v>
                </c:pt>
                <c:pt idx="17">
                  <c:v>70</c:v>
                </c:pt>
                <c:pt idx="18">
                  <c:v>73</c:v>
                </c:pt>
                <c:pt idx="19">
                  <c:v>65</c:v>
                </c:pt>
                <c:pt idx="20">
                  <c:v>66</c:v>
                </c:pt>
                <c:pt idx="21">
                  <c:v>69</c:v>
                </c:pt>
                <c:pt idx="22">
                  <c:v>75</c:v>
                </c:pt>
                <c:pt idx="23">
                  <c:v>66</c:v>
                </c:pt>
                <c:pt idx="24">
                  <c:v>73</c:v>
                </c:pt>
                <c:pt idx="25">
                  <c:v>69</c:v>
                </c:pt>
                <c:pt idx="26">
                  <c:v>70</c:v>
                </c:pt>
                <c:pt idx="27">
                  <c:v>66</c:v>
                </c:pt>
                <c:pt idx="28">
                  <c:v>65</c:v>
                </c:pt>
                <c:pt idx="29">
                  <c:v>74</c:v>
                </c:pt>
                <c:pt idx="30">
                  <c:v>67</c:v>
                </c:pt>
                <c:pt idx="31">
                  <c:v>74</c:v>
                </c:pt>
                <c:pt idx="32">
                  <c:v>70</c:v>
                </c:pt>
                <c:pt idx="33">
                  <c:v>67</c:v>
                </c:pt>
                <c:pt idx="34">
                  <c:v>71</c:v>
                </c:pt>
                <c:pt idx="35">
                  <c:v>69.5</c:v>
                </c:pt>
                <c:pt idx="36">
                  <c:v>72</c:v>
                </c:pt>
                <c:pt idx="37">
                  <c:v>68</c:v>
                </c:pt>
                <c:pt idx="38">
                  <c:v>69</c:v>
                </c:pt>
                <c:pt idx="39">
                  <c:v>62</c:v>
                </c:pt>
                <c:pt idx="40">
                  <c:v>73</c:v>
                </c:pt>
                <c:pt idx="41">
                  <c:v>71</c:v>
                </c:pt>
                <c:pt idx="42">
                  <c:v>75</c:v>
                </c:pt>
                <c:pt idx="43">
                  <c:v>66</c:v>
                </c:pt>
                <c:pt idx="44">
                  <c:v>70</c:v>
                </c:pt>
                <c:pt idx="45">
                  <c:v>75</c:v>
                </c:pt>
                <c:pt idx="46">
                  <c:v>66</c:v>
                </c:pt>
                <c:pt idx="47">
                  <c:v>69</c:v>
                </c:pt>
                <c:pt idx="48">
                  <c:v>68</c:v>
                </c:pt>
                <c:pt idx="49">
                  <c:v>71</c:v>
                </c:pt>
                <c:pt idx="50">
                  <c:v>63</c:v>
                </c:pt>
                <c:pt idx="51">
                  <c:v>68</c:v>
                </c:pt>
                <c:pt idx="52">
                  <c:v>73</c:v>
                </c:pt>
                <c:pt idx="53">
                  <c:v>70</c:v>
                </c:pt>
                <c:pt idx="54">
                  <c:v>73</c:v>
                </c:pt>
                <c:pt idx="55">
                  <c:v>73</c:v>
                </c:pt>
                <c:pt idx="56">
                  <c:v>67</c:v>
                </c:pt>
                <c:pt idx="57">
                  <c:v>71</c:v>
                </c:pt>
                <c:pt idx="58">
                  <c:v>72</c:v>
                </c:pt>
                <c:pt idx="59">
                  <c:v>74</c:v>
                </c:pt>
                <c:pt idx="60">
                  <c:v>62</c:v>
                </c:pt>
                <c:pt idx="61">
                  <c:v>61.75</c:v>
                </c:pt>
                <c:pt idx="62">
                  <c:v>68</c:v>
                </c:pt>
                <c:pt idx="63">
                  <c:v>69</c:v>
                </c:pt>
                <c:pt idx="64">
                  <c:v>72</c:v>
                </c:pt>
                <c:pt idx="65">
                  <c:v>67</c:v>
                </c:pt>
                <c:pt idx="66">
                  <c:v>68</c:v>
                </c:pt>
                <c:pt idx="67">
                  <c:v>72</c:v>
                </c:pt>
                <c:pt idx="68">
                  <c:v>68</c:v>
                </c:pt>
                <c:pt idx="69">
                  <c:v>64</c:v>
                </c:pt>
                <c:pt idx="70">
                  <c:v>68</c:v>
                </c:pt>
                <c:pt idx="71">
                  <c:v>73</c:v>
                </c:pt>
                <c:pt idx="72">
                  <c:v>63</c:v>
                </c:pt>
                <c:pt idx="73">
                  <c:v>72</c:v>
                </c:pt>
                <c:pt idx="74">
                  <c:v>69</c:v>
                </c:pt>
                <c:pt idx="75">
                  <c:v>66</c:v>
                </c:pt>
                <c:pt idx="76">
                  <c:v>65</c:v>
                </c:pt>
                <c:pt idx="77">
                  <c:v>67</c:v>
                </c:pt>
                <c:pt idx="78">
                  <c:v>63</c:v>
                </c:pt>
                <c:pt idx="79">
                  <c:v>69</c:v>
                </c:pt>
                <c:pt idx="80">
                  <c:v>73.5</c:v>
                </c:pt>
                <c:pt idx="81">
                  <c:v>65</c:v>
                </c:pt>
                <c:pt idx="82">
                  <c:v>74</c:v>
                </c:pt>
                <c:pt idx="83">
                  <c:v>67</c:v>
                </c:pt>
                <c:pt idx="84">
                  <c:v>68</c:v>
                </c:pt>
                <c:pt idx="85">
                  <c:v>64</c:v>
                </c:pt>
                <c:pt idx="86">
                  <c:v>70</c:v>
                </c:pt>
                <c:pt idx="87">
                  <c:v>69</c:v>
                </c:pt>
                <c:pt idx="88">
                  <c:v>62</c:v>
                </c:pt>
                <c:pt idx="89">
                  <c:v>61</c:v>
                </c:pt>
                <c:pt idx="90">
                  <c:v>68</c:v>
                </c:pt>
                <c:pt idx="91">
                  <c:v>63</c:v>
                </c:pt>
              </c:numCache>
            </c:numRef>
          </c:xVal>
          <c:yVal>
            <c:numRef>
              <c:f>'1Male|Ht'!$B$3:$B$94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'1Male|Ht'!$V$10</c:f>
              <c:strCache>
                <c:ptCount val="1"/>
                <c:pt idx="0">
                  <c:v>pY OLS2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'1Male|Ht'!$Q$11:$Q$51</c:f>
              <c:numCache>
                <c:formatCode>0</c:formatCode>
                <c:ptCount val="41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64</c:v>
                </c:pt>
                <c:pt idx="7">
                  <c:v>65</c:v>
                </c:pt>
                <c:pt idx="8">
                  <c:v>66</c:v>
                </c:pt>
                <c:pt idx="9">
                  <c:v>67</c:v>
                </c:pt>
                <c:pt idx="10">
                  <c:v>68</c:v>
                </c:pt>
                <c:pt idx="11">
                  <c:v>69</c:v>
                </c:pt>
                <c:pt idx="12">
                  <c:v>70</c:v>
                </c:pt>
                <c:pt idx="13">
                  <c:v>71</c:v>
                </c:pt>
                <c:pt idx="14">
                  <c:v>72</c:v>
                </c:pt>
                <c:pt idx="15">
                  <c:v>73</c:v>
                </c:pt>
                <c:pt idx="16">
                  <c:v>74</c:v>
                </c:pt>
                <c:pt idx="17">
                  <c:v>75</c:v>
                </c:pt>
                <c:pt idx="18">
                  <c:v>76</c:v>
                </c:pt>
                <c:pt idx="19">
                  <c:v>77</c:v>
                </c:pt>
                <c:pt idx="20">
                  <c:v>78</c:v>
                </c:pt>
                <c:pt idx="21">
                  <c:v>79</c:v>
                </c:pt>
                <c:pt idx="22">
                  <c:v>80</c:v>
                </c:pt>
                <c:pt idx="23">
                  <c:v>81</c:v>
                </c:pt>
                <c:pt idx="24">
                  <c:v>82</c:v>
                </c:pt>
                <c:pt idx="25">
                  <c:v>83</c:v>
                </c:pt>
                <c:pt idx="26">
                  <c:v>84</c:v>
                </c:pt>
                <c:pt idx="27">
                  <c:v>85</c:v>
                </c:pt>
                <c:pt idx="28">
                  <c:v>86</c:v>
                </c:pt>
                <c:pt idx="29">
                  <c:v>87</c:v>
                </c:pt>
                <c:pt idx="30">
                  <c:v>88</c:v>
                </c:pt>
                <c:pt idx="31">
                  <c:v>89</c:v>
                </c:pt>
                <c:pt idx="32">
                  <c:v>90</c:v>
                </c:pt>
                <c:pt idx="33">
                  <c:v>91</c:v>
                </c:pt>
                <c:pt idx="34">
                  <c:v>92</c:v>
                </c:pt>
                <c:pt idx="35">
                  <c:v>93</c:v>
                </c:pt>
                <c:pt idx="36">
                  <c:v>94</c:v>
                </c:pt>
                <c:pt idx="37">
                  <c:v>95</c:v>
                </c:pt>
                <c:pt idx="38">
                  <c:v>96</c:v>
                </c:pt>
                <c:pt idx="39">
                  <c:v>97</c:v>
                </c:pt>
                <c:pt idx="40">
                  <c:v>98</c:v>
                </c:pt>
              </c:numCache>
            </c:numRef>
          </c:xVal>
          <c:yVal>
            <c:numRef>
              <c:f>'1Male|Ht'!$V$11:$V$51</c:f>
              <c:numCache>
                <c:formatCode>0.00</c:formatCode>
                <c:ptCount val="41"/>
                <c:pt idx="0">
                  <c:v>-1.3820445609436485</c:v>
                </c:pt>
                <c:pt idx="1">
                  <c:v>-1.1952817824377502</c:v>
                </c:pt>
                <c:pt idx="2">
                  <c:v>-1.0085190039318519</c:v>
                </c:pt>
                <c:pt idx="3">
                  <c:v>-0.82175622542595395</c:v>
                </c:pt>
                <c:pt idx="4">
                  <c:v>-0.63499344692005566</c:v>
                </c:pt>
                <c:pt idx="5">
                  <c:v>-0.4482306684141576</c:v>
                </c:pt>
                <c:pt idx="6">
                  <c:v>-0.26146788990825931</c:v>
                </c:pt>
                <c:pt idx="7">
                  <c:v>-7.4705111402361135E-2</c:v>
                </c:pt>
                <c:pt idx="8">
                  <c:v>0.11205766710353715</c:v>
                </c:pt>
                <c:pt idx="9">
                  <c:v>0.29882044560943533</c:v>
                </c:pt>
                <c:pt idx="10">
                  <c:v>0.4855832241153335</c:v>
                </c:pt>
                <c:pt idx="11">
                  <c:v>0.67234600262123179</c:v>
                </c:pt>
                <c:pt idx="12">
                  <c:v>0.85910878112712996</c:v>
                </c:pt>
                <c:pt idx="13">
                  <c:v>1.0458715596330281</c:v>
                </c:pt>
                <c:pt idx="14">
                  <c:v>1.2326343381389262</c:v>
                </c:pt>
                <c:pt idx="15">
                  <c:v>1.4193971166448245</c:v>
                </c:pt>
                <c:pt idx="16">
                  <c:v>1.6061598951507228</c:v>
                </c:pt>
                <c:pt idx="17">
                  <c:v>1.7929226736566211</c:v>
                </c:pt>
                <c:pt idx="18">
                  <c:v>1.9796854521625193</c:v>
                </c:pt>
                <c:pt idx="19">
                  <c:v>2.1664482306684172</c:v>
                </c:pt>
                <c:pt idx="20">
                  <c:v>2.3532110091743155</c:v>
                </c:pt>
                <c:pt idx="21">
                  <c:v>2.5399737876802138</c:v>
                </c:pt>
                <c:pt idx="22">
                  <c:v>2.726736566186112</c:v>
                </c:pt>
                <c:pt idx="23">
                  <c:v>2.9134993446920099</c:v>
                </c:pt>
                <c:pt idx="24">
                  <c:v>3.1002621231979082</c:v>
                </c:pt>
                <c:pt idx="25">
                  <c:v>3.2870249017038065</c:v>
                </c:pt>
                <c:pt idx="26">
                  <c:v>3.4737876802097047</c:v>
                </c:pt>
                <c:pt idx="27">
                  <c:v>3.660550458715603</c:v>
                </c:pt>
                <c:pt idx="28">
                  <c:v>3.8473132372215009</c:v>
                </c:pt>
                <c:pt idx="29">
                  <c:v>4.0340760157273996</c:v>
                </c:pt>
                <c:pt idx="30">
                  <c:v>4.2208387942332974</c:v>
                </c:pt>
                <c:pt idx="31">
                  <c:v>4.4076015727391962</c:v>
                </c:pt>
                <c:pt idx="32">
                  <c:v>4.594364351245094</c:v>
                </c:pt>
                <c:pt idx="33">
                  <c:v>4.7811271297509927</c:v>
                </c:pt>
                <c:pt idx="34">
                  <c:v>4.9678899082568906</c:v>
                </c:pt>
                <c:pt idx="35">
                  <c:v>5.1546526867627893</c:v>
                </c:pt>
                <c:pt idx="36">
                  <c:v>5.3414154652686872</c:v>
                </c:pt>
                <c:pt idx="37">
                  <c:v>5.528178243774585</c:v>
                </c:pt>
                <c:pt idx="38">
                  <c:v>5.7149410222804837</c:v>
                </c:pt>
                <c:pt idx="39">
                  <c:v>5.9017038007863816</c:v>
                </c:pt>
                <c:pt idx="40">
                  <c:v>6.0884665792922803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532264"/>
        <c:axId val="374524424"/>
      </c:scatterChart>
      <c:valAx>
        <c:axId val="374532264"/>
        <c:scaling>
          <c:orientation val="minMax"/>
          <c:max val="76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524424"/>
        <c:crosses val="autoZero"/>
        <c:crossBetween val="midCat"/>
        <c:majorUnit val="2"/>
      </c:valAx>
      <c:valAx>
        <c:axId val="3745244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532264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Logistic: Gender by Height: MLE vs OLS-Based</a:t>
            </a:r>
          </a:p>
        </c:rich>
      </c:tx>
      <c:layout>
        <c:manualLayout>
          <c:xMode val="edge"/>
          <c:yMode val="edge"/>
          <c:x val="0.20923153931438807"/>
          <c:y val="2.7491408934707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'1Male|Ht'!$A$2</c:f>
              <c:strCache>
                <c:ptCount val="1"/>
                <c:pt idx="0">
                  <c:v>Weight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'1Male|Ht'!$A$3:$A$94</c:f>
              <c:numCache>
                <c:formatCode>General</c:formatCode>
                <c:ptCount val="92"/>
                <c:pt idx="0">
                  <c:v>68</c:v>
                </c:pt>
                <c:pt idx="1">
                  <c:v>69</c:v>
                </c:pt>
                <c:pt idx="2">
                  <c:v>69</c:v>
                </c:pt>
                <c:pt idx="3">
                  <c:v>72</c:v>
                </c:pt>
                <c:pt idx="4">
                  <c:v>66</c:v>
                </c:pt>
                <c:pt idx="5">
                  <c:v>67</c:v>
                </c:pt>
                <c:pt idx="6">
                  <c:v>71</c:v>
                </c:pt>
                <c:pt idx="7">
                  <c:v>71</c:v>
                </c:pt>
                <c:pt idx="8">
                  <c:v>71.5</c:v>
                </c:pt>
                <c:pt idx="9">
                  <c:v>62</c:v>
                </c:pt>
                <c:pt idx="10">
                  <c:v>65.5</c:v>
                </c:pt>
                <c:pt idx="11">
                  <c:v>73.5</c:v>
                </c:pt>
                <c:pt idx="12">
                  <c:v>72</c:v>
                </c:pt>
                <c:pt idx="13">
                  <c:v>72</c:v>
                </c:pt>
                <c:pt idx="14">
                  <c:v>66</c:v>
                </c:pt>
                <c:pt idx="15">
                  <c:v>62.75</c:v>
                </c:pt>
                <c:pt idx="16">
                  <c:v>74</c:v>
                </c:pt>
                <c:pt idx="17">
                  <c:v>70</c:v>
                </c:pt>
                <c:pt idx="18">
                  <c:v>73</c:v>
                </c:pt>
                <c:pt idx="19">
                  <c:v>65</c:v>
                </c:pt>
                <c:pt idx="20">
                  <c:v>66</c:v>
                </c:pt>
                <c:pt idx="21">
                  <c:v>69</c:v>
                </c:pt>
                <c:pt idx="22">
                  <c:v>75</c:v>
                </c:pt>
                <c:pt idx="23">
                  <c:v>66</c:v>
                </c:pt>
                <c:pt idx="24">
                  <c:v>73</c:v>
                </c:pt>
                <c:pt idx="25">
                  <c:v>69</c:v>
                </c:pt>
                <c:pt idx="26">
                  <c:v>70</c:v>
                </c:pt>
                <c:pt idx="27">
                  <c:v>66</c:v>
                </c:pt>
                <c:pt idx="28">
                  <c:v>65</c:v>
                </c:pt>
                <c:pt idx="29">
                  <c:v>74</c:v>
                </c:pt>
                <c:pt idx="30">
                  <c:v>67</c:v>
                </c:pt>
                <c:pt idx="31">
                  <c:v>74</c:v>
                </c:pt>
                <c:pt idx="32">
                  <c:v>70</c:v>
                </c:pt>
                <c:pt idx="33">
                  <c:v>67</c:v>
                </c:pt>
                <c:pt idx="34">
                  <c:v>71</c:v>
                </c:pt>
                <c:pt idx="35">
                  <c:v>69.5</c:v>
                </c:pt>
                <c:pt idx="36">
                  <c:v>72</c:v>
                </c:pt>
                <c:pt idx="37">
                  <c:v>68</c:v>
                </c:pt>
                <c:pt idx="38">
                  <c:v>69</c:v>
                </c:pt>
                <c:pt idx="39">
                  <c:v>62</c:v>
                </c:pt>
                <c:pt idx="40">
                  <c:v>73</c:v>
                </c:pt>
                <c:pt idx="41">
                  <c:v>71</c:v>
                </c:pt>
                <c:pt idx="42">
                  <c:v>75</c:v>
                </c:pt>
                <c:pt idx="43">
                  <c:v>66</c:v>
                </c:pt>
                <c:pt idx="44">
                  <c:v>70</c:v>
                </c:pt>
                <c:pt idx="45">
                  <c:v>75</c:v>
                </c:pt>
                <c:pt idx="46">
                  <c:v>66</c:v>
                </c:pt>
                <c:pt idx="47">
                  <c:v>69</c:v>
                </c:pt>
                <c:pt idx="48">
                  <c:v>68</c:v>
                </c:pt>
                <c:pt idx="49">
                  <c:v>71</c:v>
                </c:pt>
                <c:pt idx="50">
                  <c:v>63</c:v>
                </c:pt>
                <c:pt idx="51">
                  <c:v>68</c:v>
                </c:pt>
                <c:pt idx="52">
                  <c:v>73</c:v>
                </c:pt>
                <c:pt idx="53">
                  <c:v>70</c:v>
                </c:pt>
                <c:pt idx="54">
                  <c:v>73</c:v>
                </c:pt>
                <c:pt idx="55">
                  <c:v>73</c:v>
                </c:pt>
                <c:pt idx="56">
                  <c:v>67</c:v>
                </c:pt>
                <c:pt idx="57">
                  <c:v>71</c:v>
                </c:pt>
                <c:pt idx="58">
                  <c:v>72</c:v>
                </c:pt>
                <c:pt idx="59">
                  <c:v>74</c:v>
                </c:pt>
                <c:pt idx="60">
                  <c:v>62</c:v>
                </c:pt>
                <c:pt idx="61">
                  <c:v>61.75</c:v>
                </c:pt>
                <c:pt idx="62">
                  <c:v>68</c:v>
                </c:pt>
                <c:pt idx="63">
                  <c:v>69</c:v>
                </c:pt>
                <c:pt idx="64">
                  <c:v>72</c:v>
                </c:pt>
                <c:pt idx="65">
                  <c:v>67</c:v>
                </c:pt>
                <c:pt idx="66">
                  <c:v>68</c:v>
                </c:pt>
                <c:pt idx="67">
                  <c:v>72</c:v>
                </c:pt>
                <c:pt idx="68">
                  <c:v>68</c:v>
                </c:pt>
                <c:pt idx="69">
                  <c:v>64</c:v>
                </c:pt>
                <c:pt idx="70">
                  <c:v>68</c:v>
                </c:pt>
                <c:pt idx="71">
                  <c:v>73</c:v>
                </c:pt>
                <c:pt idx="72">
                  <c:v>63</c:v>
                </c:pt>
                <c:pt idx="73">
                  <c:v>72</c:v>
                </c:pt>
                <c:pt idx="74">
                  <c:v>69</c:v>
                </c:pt>
                <c:pt idx="75">
                  <c:v>66</c:v>
                </c:pt>
                <c:pt idx="76">
                  <c:v>65</c:v>
                </c:pt>
                <c:pt idx="77">
                  <c:v>67</c:v>
                </c:pt>
                <c:pt idx="78">
                  <c:v>63</c:v>
                </c:pt>
                <c:pt idx="79">
                  <c:v>69</c:v>
                </c:pt>
                <c:pt idx="80">
                  <c:v>73.5</c:v>
                </c:pt>
                <c:pt idx="81">
                  <c:v>65</c:v>
                </c:pt>
                <c:pt idx="82">
                  <c:v>74</c:v>
                </c:pt>
                <c:pt idx="83">
                  <c:v>67</c:v>
                </c:pt>
                <c:pt idx="84">
                  <c:v>68</c:v>
                </c:pt>
                <c:pt idx="85">
                  <c:v>64</c:v>
                </c:pt>
                <c:pt idx="86">
                  <c:v>70</c:v>
                </c:pt>
                <c:pt idx="87">
                  <c:v>69</c:v>
                </c:pt>
                <c:pt idx="88">
                  <c:v>62</c:v>
                </c:pt>
                <c:pt idx="89">
                  <c:v>61</c:v>
                </c:pt>
                <c:pt idx="90">
                  <c:v>68</c:v>
                </c:pt>
                <c:pt idx="91">
                  <c:v>63</c:v>
                </c:pt>
              </c:numCache>
            </c:numRef>
          </c:xVal>
          <c:yVal>
            <c:numRef>
              <c:f>'1Male|Ht'!$B$3:$B$94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'1Male|Ht'!$Q$10</c:f>
              <c:strCache>
                <c:ptCount val="1"/>
                <c:pt idx="0">
                  <c:v>Q-Axis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'1Male|Ht'!$Q$11:$Q$46</c:f>
              <c:numCache>
                <c:formatCode>0</c:formatCode>
                <c:ptCount val="36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64</c:v>
                </c:pt>
                <c:pt idx="7">
                  <c:v>65</c:v>
                </c:pt>
                <c:pt idx="8">
                  <c:v>66</c:v>
                </c:pt>
                <c:pt idx="9">
                  <c:v>67</c:v>
                </c:pt>
                <c:pt idx="10">
                  <c:v>68</c:v>
                </c:pt>
                <c:pt idx="11">
                  <c:v>69</c:v>
                </c:pt>
                <c:pt idx="12">
                  <c:v>70</c:v>
                </c:pt>
                <c:pt idx="13">
                  <c:v>71</c:v>
                </c:pt>
                <c:pt idx="14">
                  <c:v>72</c:v>
                </c:pt>
                <c:pt idx="15">
                  <c:v>73</c:v>
                </c:pt>
                <c:pt idx="16">
                  <c:v>74</c:v>
                </c:pt>
                <c:pt idx="17">
                  <c:v>75</c:v>
                </c:pt>
                <c:pt idx="18">
                  <c:v>76</c:v>
                </c:pt>
                <c:pt idx="19">
                  <c:v>77</c:v>
                </c:pt>
                <c:pt idx="20">
                  <c:v>78</c:v>
                </c:pt>
                <c:pt idx="21">
                  <c:v>79</c:v>
                </c:pt>
                <c:pt idx="22">
                  <c:v>80</c:v>
                </c:pt>
                <c:pt idx="23">
                  <c:v>81</c:v>
                </c:pt>
                <c:pt idx="24">
                  <c:v>82</c:v>
                </c:pt>
                <c:pt idx="25">
                  <c:v>83</c:v>
                </c:pt>
                <c:pt idx="26">
                  <c:v>84</c:v>
                </c:pt>
                <c:pt idx="27">
                  <c:v>85</c:v>
                </c:pt>
                <c:pt idx="28">
                  <c:v>86</c:v>
                </c:pt>
                <c:pt idx="29">
                  <c:v>87</c:v>
                </c:pt>
                <c:pt idx="30">
                  <c:v>88</c:v>
                </c:pt>
                <c:pt idx="31">
                  <c:v>89</c:v>
                </c:pt>
                <c:pt idx="32">
                  <c:v>90</c:v>
                </c:pt>
                <c:pt idx="33">
                  <c:v>91</c:v>
                </c:pt>
                <c:pt idx="34">
                  <c:v>92</c:v>
                </c:pt>
                <c:pt idx="35">
                  <c:v>93</c:v>
                </c:pt>
              </c:numCache>
            </c:numRef>
          </c:xVal>
          <c:yVal>
            <c:numRef>
              <c:f>'1Male|Ht'!$T$11:$T$46</c:f>
              <c:numCache>
                <c:formatCode>0%</c:formatCode>
                <c:ptCount val="36"/>
                <c:pt idx="0">
                  <c:v>5.6805820634674153E-4</c:v>
                </c:pt>
                <c:pt idx="1">
                  <c:v>1.2514490152225656E-3</c:v>
                </c:pt>
                <c:pt idx="2">
                  <c:v>2.7547131167372885E-3</c:v>
                </c:pt>
                <c:pt idx="3">
                  <c:v>6.0527828364824966E-3</c:v>
                </c:pt>
                <c:pt idx="4">
                  <c:v>1.3247002266217625E-2</c:v>
                </c:pt>
                <c:pt idx="5">
                  <c:v>2.8744839066895806E-2</c:v>
                </c:pt>
                <c:pt idx="6">
                  <c:v>6.124838278950484E-2</c:v>
                </c:pt>
                <c:pt idx="7">
                  <c:v>0.1257472056045488</c:v>
                </c:pt>
                <c:pt idx="8">
                  <c:v>0.24074882332554237</c:v>
                </c:pt>
                <c:pt idx="9">
                  <c:v>0.41142902508819346</c:v>
                </c:pt>
                <c:pt idx="10">
                  <c:v>0.6064601048970143</c:v>
                </c:pt>
                <c:pt idx="11">
                  <c:v>0.77258649358567655</c:v>
                </c:pt>
                <c:pt idx="12">
                  <c:v>0.88220633626931599</c:v>
                </c:pt>
                <c:pt idx="13">
                  <c:v>0.94289207793413443</c:v>
                </c:pt>
                <c:pt idx="14">
                  <c:v>0.97326093138043035</c:v>
                </c:pt>
                <c:pt idx="15">
                  <c:v>0.98769105810414448</c:v>
                </c:pt>
                <c:pt idx="16">
                  <c:v>0.99437873522408593</c:v>
                </c:pt>
                <c:pt idx="17">
                  <c:v>0.99744228233884547</c:v>
                </c:pt>
                <c:pt idx="18">
                  <c:v>0.99883817003719455</c:v>
                </c:pt>
                <c:pt idx="19">
                  <c:v>0.99947264754805087</c:v>
                </c:pt>
                <c:pt idx="20">
                  <c:v>0.99976071871104433</c:v>
                </c:pt>
                <c:pt idx="21">
                  <c:v>0.99989144542349506</c:v>
                </c:pt>
                <c:pt idx="22">
                  <c:v>0.99995075563839542</c:v>
                </c:pt>
                <c:pt idx="23">
                  <c:v>0.99997766166439228</c:v>
                </c:pt>
                <c:pt idx="24">
                  <c:v>0.99998986698404724</c:v>
                </c:pt>
                <c:pt idx="25">
                  <c:v>0.99999540353724858</c:v>
                </c:pt>
                <c:pt idx="26">
                  <c:v>0.9999979149933238</c:v>
                </c:pt>
                <c:pt idx="27">
                  <c:v>0.99999905421905722</c:v>
                </c:pt>
                <c:pt idx="28">
                  <c:v>0.99999957098409076</c:v>
                </c:pt>
                <c:pt idx="29">
                  <c:v>0.99999980539405053</c:v>
                </c:pt>
                <c:pt idx="30">
                  <c:v>0.99999991172478708</c:v>
                </c:pt>
                <c:pt idx="31">
                  <c:v>0.99999995995747926</c:v>
                </c:pt>
                <c:pt idx="32">
                  <c:v>0.999999981836312</c:v>
                </c:pt>
                <c:pt idx="33">
                  <c:v>0.99999999176076948</c:v>
                </c:pt>
                <c:pt idx="34">
                  <c:v>0.99999999626260272</c:v>
                </c:pt>
                <c:pt idx="35">
                  <c:v>0.99999999830467923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'1Male|Ht'!$W$10</c:f>
              <c:strCache>
                <c:ptCount val="1"/>
                <c:pt idx="0">
                  <c:v>pY Est</c:v>
                </c:pt>
              </c:strCache>
            </c:strRef>
          </c:tx>
          <c:spPr>
            <a:ln w="1270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prstDash val="dash"/>
                <a:round/>
              </a:ln>
              <a:effectLst/>
            </c:spPr>
          </c:dPt>
          <c:dPt>
            <c:idx val="1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2700" cap="rnd">
                <a:solidFill>
                  <a:schemeClr val="tx1"/>
                </a:solidFill>
                <a:prstDash val="dash"/>
                <a:round/>
              </a:ln>
              <a:effectLst/>
            </c:spPr>
          </c:dPt>
          <c:xVal>
            <c:numRef>
              <c:f>'1Male|Ht'!$Q$11:$Q$51</c:f>
              <c:numCache>
                <c:formatCode>0</c:formatCode>
                <c:ptCount val="41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64</c:v>
                </c:pt>
                <c:pt idx="7">
                  <c:v>65</c:v>
                </c:pt>
                <c:pt idx="8">
                  <c:v>66</c:v>
                </c:pt>
                <c:pt idx="9">
                  <c:v>67</c:v>
                </c:pt>
                <c:pt idx="10">
                  <c:v>68</c:v>
                </c:pt>
                <c:pt idx="11">
                  <c:v>69</c:v>
                </c:pt>
                <c:pt idx="12">
                  <c:v>70</c:v>
                </c:pt>
                <c:pt idx="13">
                  <c:v>71</c:v>
                </c:pt>
                <c:pt idx="14">
                  <c:v>72</c:v>
                </c:pt>
                <c:pt idx="15">
                  <c:v>73</c:v>
                </c:pt>
                <c:pt idx="16">
                  <c:v>74</c:v>
                </c:pt>
                <c:pt idx="17">
                  <c:v>75</c:v>
                </c:pt>
                <c:pt idx="18">
                  <c:v>76</c:v>
                </c:pt>
                <c:pt idx="19">
                  <c:v>77</c:v>
                </c:pt>
                <c:pt idx="20">
                  <c:v>78</c:v>
                </c:pt>
                <c:pt idx="21">
                  <c:v>79</c:v>
                </c:pt>
                <c:pt idx="22">
                  <c:v>80</c:v>
                </c:pt>
                <c:pt idx="23">
                  <c:v>81</c:v>
                </c:pt>
                <c:pt idx="24">
                  <c:v>82</c:v>
                </c:pt>
                <c:pt idx="25">
                  <c:v>83</c:v>
                </c:pt>
                <c:pt idx="26">
                  <c:v>84</c:v>
                </c:pt>
                <c:pt idx="27">
                  <c:v>85</c:v>
                </c:pt>
                <c:pt idx="28">
                  <c:v>86</c:v>
                </c:pt>
                <c:pt idx="29">
                  <c:v>87</c:v>
                </c:pt>
                <c:pt idx="30">
                  <c:v>88</c:v>
                </c:pt>
                <c:pt idx="31">
                  <c:v>89</c:v>
                </c:pt>
                <c:pt idx="32">
                  <c:v>90</c:v>
                </c:pt>
                <c:pt idx="33">
                  <c:v>91</c:v>
                </c:pt>
                <c:pt idx="34">
                  <c:v>92</c:v>
                </c:pt>
                <c:pt idx="35">
                  <c:v>93</c:v>
                </c:pt>
                <c:pt idx="36">
                  <c:v>94</c:v>
                </c:pt>
                <c:pt idx="37">
                  <c:v>95</c:v>
                </c:pt>
                <c:pt idx="38">
                  <c:v>96</c:v>
                </c:pt>
                <c:pt idx="39">
                  <c:v>97</c:v>
                </c:pt>
                <c:pt idx="40">
                  <c:v>98</c:v>
                </c:pt>
              </c:numCache>
            </c:numRef>
          </c:xVal>
          <c:yVal>
            <c:numRef>
              <c:f>'1Male|Ht'!$W$11:$W$51</c:f>
              <c:numCache>
                <c:formatCode>0.00</c:formatCode>
                <c:ptCount val="41"/>
                <c:pt idx="0">
                  <c:v>8.5032808975574116E-4</c:v>
                </c:pt>
                <c:pt idx="1">
                  <c:v>1.7931503193404131E-3</c:v>
                </c:pt>
                <c:pt idx="2">
                  <c:v>3.7773977691209324E-3</c:v>
                </c:pt>
                <c:pt idx="3">
                  <c:v>7.9398901247435035E-3</c:v>
                </c:pt>
                <c:pt idx="4">
                  <c:v>1.6612739671049464E-2</c:v>
                </c:pt>
                <c:pt idx="5">
                  <c:v>3.4430275536100008E-2</c:v>
                </c:pt>
                <c:pt idx="6">
                  <c:v>6.999729338940637E-2</c:v>
                </c:pt>
                <c:pt idx="7">
                  <c:v>0.13708916563568002</c:v>
                </c:pt>
                <c:pt idx="8">
                  <c:v>0.25112360163102776</c:v>
                </c:pt>
                <c:pt idx="9">
                  <c:v>0.41445525587305077</c:v>
                </c:pt>
                <c:pt idx="10">
                  <c:v>0.59904164120340464</c:v>
                </c:pt>
                <c:pt idx="11">
                  <c:v>0.75924133491184986</c:v>
                </c:pt>
                <c:pt idx="12">
                  <c:v>0.86938996938516533</c:v>
                </c:pt>
                <c:pt idx="13">
                  <c:v>0.93355509525399738</c:v>
                </c:pt>
                <c:pt idx="14">
                  <c:v>0.96738038504765522</c:v>
                </c:pt>
                <c:pt idx="15">
                  <c:v>0.98427616973582643</c:v>
                </c:pt>
                <c:pt idx="16">
                  <c:v>0.99248849979962961</c:v>
                </c:pt>
                <c:pt idx="17">
                  <c:v>0.996427217280487</c:v>
                </c:pt>
                <c:pt idx="18">
                  <c:v>0.99830416447131776</c:v>
                </c:pt>
                <c:pt idx="19">
                  <c:v>0.99919586068310484</c:v>
                </c:pt>
                <c:pt idx="20">
                  <c:v>0.99961886841671987</c:v>
                </c:pt>
                <c:pt idx="21">
                  <c:v>0.99981939828255084</c:v>
                </c:pt>
                <c:pt idx="22">
                  <c:v>0.99991442971537214</c:v>
                </c:pt>
                <c:pt idx="23">
                  <c:v>0.99995945826253918</c:v>
                </c:pt>
                <c:pt idx="24">
                  <c:v>0.9999807924732802</c:v>
                </c:pt>
                <c:pt idx="25">
                  <c:v>0.99999090012012715</c:v>
                </c:pt>
                <c:pt idx="26">
                  <c:v>0.99999568880603706</c:v>
                </c:pt>
                <c:pt idx="27">
                  <c:v>0.99999795751737297</c:v>
                </c:pt>
                <c:pt idx="28">
                  <c:v>0.99999903234919674</c:v>
                </c:pt>
                <c:pt idx="29">
                  <c:v>0.99999954156400894</c:v>
                </c:pt>
                <c:pt idx="30">
                  <c:v>0.99999978281059565</c:v>
                </c:pt>
                <c:pt idx="31">
                  <c:v>0.99999989710399639</c:v>
                </c:pt>
                <c:pt idx="32">
                  <c:v>0.99999995125182572</c:v>
                </c:pt>
                <c:pt idx="33">
                  <c:v>0.99999997690498821</c:v>
                </c:pt>
                <c:pt idx="34">
                  <c:v>0.99999998905847087</c:v>
                </c:pt>
                <c:pt idx="35">
                  <c:v>0.99999999481632407</c:v>
                </c:pt>
                <c:pt idx="36">
                  <c:v>0.99999999754417357</c:v>
                </c:pt>
                <c:pt idx="37">
                  <c:v>0.9999999988365238</c:v>
                </c:pt>
                <c:pt idx="38">
                  <c:v>0.99999999944878981</c:v>
                </c:pt>
                <c:pt idx="39">
                  <c:v>0.99999999973885778</c:v>
                </c:pt>
                <c:pt idx="40">
                  <c:v>0.99999999987628074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524816"/>
        <c:axId val="374525208"/>
      </c:scatterChart>
      <c:valAx>
        <c:axId val="374524816"/>
        <c:scaling>
          <c:orientation val="minMax"/>
          <c:max val="76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525208"/>
        <c:crosses val="autoZero"/>
        <c:crossBetween val="midCat"/>
        <c:majorUnit val="2"/>
      </c:valAx>
      <c:valAx>
        <c:axId val="3745252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52481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&amp;L10/27/2014&amp;CMLE and OLS-Based Logistic Models:
Model Gender based on Height&amp;RV0B</c:oddHeader>
    </c:headerFooter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Height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'1Male|Ht'!$A$2</c:f>
              <c:strCache>
                <c:ptCount val="1"/>
                <c:pt idx="0">
                  <c:v>Weight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208886389201349"/>
                  <c:y val="0.13312481773111698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aseline="0">
                        <a:solidFill>
                          <a:schemeClr val="tx1"/>
                        </a:solidFill>
                      </a:rPr>
                      <a:t>y = 0.0953x - 5.9282</a:t>
                    </a:r>
                    <a:br>
                      <a:rPr lang="en-US" sz="1100" baseline="0">
                        <a:solidFill>
                          <a:schemeClr val="tx1"/>
                        </a:solidFill>
                      </a:rPr>
                    </a:br>
                    <a:r>
                      <a:rPr lang="en-US" sz="1100" baseline="0">
                        <a:solidFill>
                          <a:schemeClr val="tx1"/>
                        </a:solidFill>
                      </a:rPr>
                      <a:t>R² = 0.5102</a:t>
                    </a:r>
                    <a:endParaRPr lang="en-US" sz="1100">
                      <a:solidFill>
                        <a:schemeClr val="tx1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'1Male|Ht'!$A$3:$A$94</c:f>
              <c:numCache>
                <c:formatCode>General</c:formatCode>
                <c:ptCount val="92"/>
                <c:pt idx="0">
                  <c:v>68</c:v>
                </c:pt>
                <c:pt idx="1">
                  <c:v>69</c:v>
                </c:pt>
                <c:pt idx="2">
                  <c:v>69</c:v>
                </c:pt>
                <c:pt idx="3">
                  <c:v>72</c:v>
                </c:pt>
                <c:pt idx="4">
                  <c:v>66</c:v>
                </c:pt>
                <c:pt idx="5">
                  <c:v>67</c:v>
                </c:pt>
                <c:pt idx="6">
                  <c:v>71</c:v>
                </c:pt>
                <c:pt idx="7">
                  <c:v>71</c:v>
                </c:pt>
                <c:pt idx="8">
                  <c:v>71.5</c:v>
                </c:pt>
                <c:pt idx="9">
                  <c:v>62</c:v>
                </c:pt>
                <c:pt idx="10">
                  <c:v>65.5</c:v>
                </c:pt>
                <c:pt idx="11">
                  <c:v>73.5</c:v>
                </c:pt>
                <c:pt idx="12">
                  <c:v>72</c:v>
                </c:pt>
                <c:pt idx="13">
                  <c:v>72</c:v>
                </c:pt>
                <c:pt idx="14">
                  <c:v>66</c:v>
                </c:pt>
                <c:pt idx="15">
                  <c:v>62.75</c:v>
                </c:pt>
                <c:pt idx="16">
                  <c:v>74</c:v>
                </c:pt>
                <c:pt idx="17">
                  <c:v>70</c:v>
                </c:pt>
                <c:pt idx="18">
                  <c:v>73</c:v>
                </c:pt>
                <c:pt idx="19">
                  <c:v>65</c:v>
                </c:pt>
                <c:pt idx="20">
                  <c:v>66</c:v>
                </c:pt>
                <c:pt idx="21">
                  <c:v>69</c:v>
                </c:pt>
                <c:pt idx="22">
                  <c:v>75</c:v>
                </c:pt>
                <c:pt idx="23">
                  <c:v>66</c:v>
                </c:pt>
                <c:pt idx="24">
                  <c:v>73</c:v>
                </c:pt>
                <c:pt idx="25">
                  <c:v>69</c:v>
                </c:pt>
                <c:pt idx="26">
                  <c:v>70</c:v>
                </c:pt>
                <c:pt idx="27">
                  <c:v>66</c:v>
                </c:pt>
                <c:pt idx="28">
                  <c:v>65</c:v>
                </c:pt>
                <c:pt idx="29">
                  <c:v>74</c:v>
                </c:pt>
                <c:pt idx="30">
                  <c:v>67</c:v>
                </c:pt>
                <c:pt idx="31">
                  <c:v>74</c:v>
                </c:pt>
                <c:pt idx="32">
                  <c:v>70</c:v>
                </c:pt>
                <c:pt idx="33">
                  <c:v>67</c:v>
                </c:pt>
                <c:pt idx="34">
                  <c:v>71</c:v>
                </c:pt>
                <c:pt idx="35">
                  <c:v>69.5</c:v>
                </c:pt>
                <c:pt idx="36">
                  <c:v>72</c:v>
                </c:pt>
                <c:pt idx="37">
                  <c:v>68</c:v>
                </c:pt>
                <c:pt idx="38">
                  <c:v>69</c:v>
                </c:pt>
                <c:pt idx="39">
                  <c:v>62</c:v>
                </c:pt>
                <c:pt idx="40">
                  <c:v>73</c:v>
                </c:pt>
                <c:pt idx="41">
                  <c:v>71</c:v>
                </c:pt>
                <c:pt idx="42">
                  <c:v>75</c:v>
                </c:pt>
                <c:pt idx="43">
                  <c:v>66</c:v>
                </c:pt>
                <c:pt idx="44">
                  <c:v>70</c:v>
                </c:pt>
                <c:pt idx="45">
                  <c:v>75</c:v>
                </c:pt>
                <c:pt idx="46">
                  <c:v>66</c:v>
                </c:pt>
                <c:pt idx="47">
                  <c:v>69</c:v>
                </c:pt>
                <c:pt idx="48">
                  <c:v>68</c:v>
                </c:pt>
                <c:pt idx="49">
                  <c:v>71</c:v>
                </c:pt>
                <c:pt idx="50">
                  <c:v>63</c:v>
                </c:pt>
                <c:pt idx="51">
                  <c:v>68</c:v>
                </c:pt>
                <c:pt idx="52">
                  <c:v>73</c:v>
                </c:pt>
                <c:pt idx="53">
                  <c:v>70</c:v>
                </c:pt>
                <c:pt idx="54">
                  <c:v>73</c:v>
                </c:pt>
                <c:pt idx="55">
                  <c:v>73</c:v>
                </c:pt>
                <c:pt idx="56">
                  <c:v>67</c:v>
                </c:pt>
                <c:pt idx="57">
                  <c:v>71</c:v>
                </c:pt>
                <c:pt idx="58">
                  <c:v>72</c:v>
                </c:pt>
                <c:pt idx="59">
                  <c:v>74</c:v>
                </c:pt>
                <c:pt idx="60">
                  <c:v>62</c:v>
                </c:pt>
                <c:pt idx="61">
                  <c:v>61.75</c:v>
                </c:pt>
                <c:pt idx="62">
                  <c:v>68</c:v>
                </c:pt>
                <c:pt idx="63">
                  <c:v>69</c:v>
                </c:pt>
                <c:pt idx="64">
                  <c:v>72</c:v>
                </c:pt>
                <c:pt idx="65">
                  <c:v>67</c:v>
                </c:pt>
                <c:pt idx="66">
                  <c:v>68</c:v>
                </c:pt>
                <c:pt idx="67">
                  <c:v>72</c:v>
                </c:pt>
                <c:pt idx="68">
                  <c:v>68</c:v>
                </c:pt>
                <c:pt idx="69">
                  <c:v>64</c:v>
                </c:pt>
                <c:pt idx="70">
                  <c:v>68</c:v>
                </c:pt>
                <c:pt idx="71">
                  <c:v>73</c:v>
                </c:pt>
                <c:pt idx="72">
                  <c:v>63</c:v>
                </c:pt>
                <c:pt idx="73">
                  <c:v>72</c:v>
                </c:pt>
                <c:pt idx="74">
                  <c:v>69</c:v>
                </c:pt>
                <c:pt idx="75">
                  <c:v>66</c:v>
                </c:pt>
                <c:pt idx="76">
                  <c:v>65</c:v>
                </c:pt>
                <c:pt idx="77">
                  <c:v>67</c:v>
                </c:pt>
                <c:pt idx="78">
                  <c:v>63</c:v>
                </c:pt>
                <c:pt idx="79">
                  <c:v>69</c:v>
                </c:pt>
                <c:pt idx="80">
                  <c:v>73.5</c:v>
                </c:pt>
                <c:pt idx="81">
                  <c:v>65</c:v>
                </c:pt>
                <c:pt idx="82">
                  <c:v>74</c:v>
                </c:pt>
                <c:pt idx="83">
                  <c:v>67</c:v>
                </c:pt>
                <c:pt idx="84">
                  <c:v>68</c:v>
                </c:pt>
                <c:pt idx="85">
                  <c:v>64</c:v>
                </c:pt>
                <c:pt idx="86">
                  <c:v>70</c:v>
                </c:pt>
                <c:pt idx="87">
                  <c:v>69</c:v>
                </c:pt>
                <c:pt idx="88">
                  <c:v>62</c:v>
                </c:pt>
                <c:pt idx="89">
                  <c:v>61</c:v>
                </c:pt>
                <c:pt idx="90">
                  <c:v>68</c:v>
                </c:pt>
                <c:pt idx="91">
                  <c:v>63</c:v>
                </c:pt>
              </c:numCache>
            </c:numRef>
          </c:xVal>
          <c:yVal>
            <c:numRef>
              <c:f>'1Male|Ht'!$B$3:$B$94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'1Male|Ht'!$Q$10</c:f>
              <c:strCache>
                <c:ptCount val="1"/>
                <c:pt idx="0">
                  <c:v>Q-Axis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'1Male|Ht'!$Q$11:$Q$46</c:f>
              <c:numCache>
                <c:formatCode>0</c:formatCode>
                <c:ptCount val="36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64</c:v>
                </c:pt>
                <c:pt idx="7">
                  <c:v>65</c:v>
                </c:pt>
                <c:pt idx="8">
                  <c:v>66</c:v>
                </c:pt>
                <c:pt idx="9">
                  <c:v>67</c:v>
                </c:pt>
                <c:pt idx="10">
                  <c:v>68</c:v>
                </c:pt>
                <c:pt idx="11">
                  <c:v>69</c:v>
                </c:pt>
                <c:pt idx="12">
                  <c:v>70</c:v>
                </c:pt>
                <c:pt idx="13">
                  <c:v>71</c:v>
                </c:pt>
                <c:pt idx="14">
                  <c:v>72</c:v>
                </c:pt>
                <c:pt idx="15">
                  <c:v>73</c:v>
                </c:pt>
                <c:pt idx="16">
                  <c:v>74</c:v>
                </c:pt>
                <c:pt idx="17">
                  <c:v>75</c:v>
                </c:pt>
                <c:pt idx="18">
                  <c:v>76</c:v>
                </c:pt>
                <c:pt idx="19">
                  <c:v>77</c:v>
                </c:pt>
                <c:pt idx="20">
                  <c:v>78</c:v>
                </c:pt>
                <c:pt idx="21">
                  <c:v>79</c:v>
                </c:pt>
                <c:pt idx="22">
                  <c:v>80</c:v>
                </c:pt>
                <c:pt idx="23">
                  <c:v>81</c:v>
                </c:pt>
                <c:pt idx="24">
                  <c:v>82</c:v>
                </c:pt>
                <c:pt idx="25">
                  <c:v>83</c:v>
                </c:pt>
                <c:pt idx="26">
                  <c:v>84</c:v>
                </c:pt>
                <c:pt idx="27">
                  <c:v>85</c:v>
                </c:pt>
                <c:pt idx="28">
                  <c:v>86</c:v>
                </c:pt>
                <c:pt idx="29">
                  <c:v>87</c:v>
                </c:pt>
                <c:pt idx="30">
                  <c:v>88</c:v>
                </c:pt>
                <c:pt idx="31">
                  <c:v>89</c:v>
                </c:pt>
                <c:pt idx="32">
                  <c:v>90</c:v>
                </c:pt>
                <c:pt idx="33">
                  <c:v>91</c:v>
                </c:pt>
                <c:pt idx="34">
                  <c:v>92</c:v>
                </c:pt>
                <c:pt idx="35">
                  <c:v>93</c:v>
                </c:pt>
              </c:numCache>
            </c:numRef>
          </c:xVal>
          <c:yVal>
            <c:numRef>
              <c:f>'1Male|Ht'!$T$11:$T$46</c:f>
              <c:numCache>
                <c:formatCode>0%</c:formatCode>
                <c:ptCount val="36"/>
                <c:pt idx="0">
                  <c:v>5.6805820634674153E-4</c:v>
                </c:pt>
                <c:pt idx="1">
                  <c:v>1.2514490152225656E-3</c:v>
                </c:pt>
                <c:pt idx="2">
                  <c:v>2.7547131167372885E-3</c:v>
                </c:pt>
                <c:pt idx="3">
                  <c:v>6.0527828364824966E-3</c:v>
                </c:pt>
                <c:pt idx="4">
                  <c:v>1.3247002266217625E-2</c:v>
                </c:pt>
                <c:pt idx="5">
                  <c:v>2.8744839066895806E-2</c:v>
                </c:pt>
                <c:pt idx="6">
                  <c:v>6.124838278950484E-2</c:v>
                </c:pt>
                <c:pt idx="7">
                  <c:v>0.1257472056045488</c:v>
                </c:pt>
                <c:pt idx="8">
                  <c:v>0.24074882332554237</c:v>
                </c:pt>
                <c:pt idx="9">
                  <c:v>0.41142902508819346</c:v>
                </c:pt>
                <c:pt idx="10">
                  <c:v>0.6064601048970143</c:v>
                </c:pt>
                <c:pt idx="11">
                  <c:v>0.77258649358567655</c:v>
                </c:pt>
                <c:pt idx="12">
                  <c:v>0.88220633626931599</c:v>
                </c:pt>
                <c:pt idx="13">
                  <c:v>0.94289207793413443</c:v>
                </c:pt>
                <c:pt idx="14">
                  <c:v>0.97326093138043035</c:v>
                </c:pt>
                <c:pt idx="15">
                  <c:v>0.98769105810414448</c:v>
                </c:pt>
                <c:pt idx="16">
                  <c:v>0.99437873522408593</c:v>
                </c:pt>
                <c:pt idx="17">
                  <c:v>0.99744228233884547</c:v>
                </c:pt>
                <c:pt idx="18">
                  <c:v>0.99883817003719455</c:v>
                </c:pt>
                <c:pt idx="19">
                  <c:v>0.99947264754805087</c:v>
                </c:pt>
                <c:pt idx="20">
                  <c:v>0.99976071871104433</c:v>
                </c:pt>
                <c:pt idx="21">
                  <c:v>0.99989144542349506</c:v>
                </c:pt>
                <c:pt idx="22">
                  <c:v>0.99995075563839542</c:v>
                </c:pt>
                <c:pt idx="23">
                  <c:v>0.99997766166439228</c:v>
                </c:pt>
                <c:pt idx="24">
                  <c:v>0.99998986698404724</c:v>
                </c:pt>
                <c:pt idx="25">
                  <c:v>0.99999540353724858</c:v>
                </c:pt>
                <c:pt idx="26">
                  <c:v>0.9999979149933238</c:v>
                </c:pt>
                <c:pt idx="27">
                  <c:v>0.99999905421905722</c:v>
                </c:pt>
                <c:pt idx="28">
                  <c:v>0.99999957098409076</c:v>
                </c:pt>
                <c:pt idx="29">
                  <c:v>0.99999980539405053</c:v>
                </c:pt>
                <c:pt idx="30">
                  <c:v>0.99999991172478708</c:v>
                </c:pt>
                <c:pt idx="31">
                  <c:v>0.99999995995747926</c:v>
                </c:pt>
                <c:pt idx="32">
                  <c:v>0.999999981836312</c:v>
                </c:pt>
                <c:pt idx="33">
                  <c:v>0.99999999176076948</c:v>
                </c:pt>
                <c:pt idx="34">
                  <c:v>0.99999999626260272</c:v>
                </c:pt>
                <c:pt idx="35">
                  <c:v>0.99999999830467923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528736"/>
        <c:axId val="374530696"/>
      </c:scatterChart>
      <c:valAx>
        <c:axId val="374528736"/>
        <c:scaling>
          <c:orientation val="minMax"/>
          <c:max val="76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530696"/>
        <c:crosses val="autoZero"/>
        <c:crossBetween val="midCat"/>
        <c:majorUnit val="2"/>
      </c:valAx>
      <c:valAx>
        <c:axId val="3745306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52873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Height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'1Male|Ht'!$B$2</c:f>
              <c:strCache>
                <c:ptCount val="1"/>
                <c:pt idx="0">
                  <c:v>Male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'1Male|Ht'!$A$3:$A$94</c:f>
              <c:numCache>
                <c:formatCode>General</c:formatCode>
                <c:ptCount val="92"/>
                <c:pt idx="0">
                  <c:v>68</c:v>
                </c:pt>
                <c:pt idx="1">
                  <c:v>69</c:v>
                </c:pt>
                <c:pt idx="2">
                  <c:v>69</c:v>
                </c:pt>
                <c:pt idx="3">
                  <c:v>72</c:v>
                </c:pt>
                <c:pt idx="4">
                  <c:v>66</c:v>
                </c:pt>
                <c:pt idx="5">
                  <c:v>67</c:v>
                </c:pt>
                <c:pt idx="6">
                  <c:v>71</c:v>
                </c:pt>
                <c:pt idx="7">
                  <c:v>71</c:v>
                </c:pt>
                <c:pt idx="8">
                  <c:v>71.5</c:v>
                </c:pt>
                <c:pt idx="9">
                  <c:v>62</c:v>
                </c:pt>
                <c:pt idx="10">
                  <c:v>65.5</c:v>
                </c:pt>
                <c:pt idx="11">
                  <c:v>73.5</c:v>
                </c:pt>
                <c:pt idx="12">
                  <c:v>72</c:v>
                </c:pt>
                <c:pt idx="13">
                  <c:v>72</c:v>
                </c:pt>
                <c:pt idx="14">
                  <c:v>66</c:v>
                </c:pt>
                <c:pt idx="15">
                  <c:v>62.75</c:v>
                </c:pt>
                <c:pt idx="16">
                  <c:v>74</c:v>
                </c:pt>
                <c:pt idx="17">
                  <c:v>70</c:v>
                </c:pt>
                <c:pt idx="18">
                  <c:v>73</c:v>
                </c:pt>
                <c:pt idx="19">
                  <c:v>65</c:v>
                </c:pt>
                <c:pt idx="20">
                  <c:v>66</c:v>
                </c:pt>
                <c:pt idx="21">
                  <c:v>69</c:v>
                </c:pt>
                <c:pt idx="22">
                  <c:v>75</c:v>
                </c:pt>
                <c:pt idx="23">
                  <c:v>66</c:v>
                </c:pt>
                <c:pt idx="24">
                  <c:v>73</c:v>
                </c:pt>
                <c:pt idx="25">
                  <c:v>69</c:v>
                </c:pt>
                <c:pt idx="26">
                  <c:v>70</c:v>
                </c:pt>
                <c:pt idx="27">
                  <c:v>66</c:v>
                </c:pt>
                <c:pt idx="28">
                  <c:v>65</c:v>
                </c:pt>
                <c:pt idx="29">
                  <c:v>74</c:v>
                </c:pt>
                <c:pt idx="30">
                  <c:v>67</c:v>
                </c:pt>
                <c:pt idx="31">
                  <c:v>74</c:v>
                </c:pt>
                <c:pt idx="32">
                  <c:v>70</c:v>
                </c:pt>
                <c:pt idx="33">
                  <c:v>67</c:v>
                </c:pt>
                <c:pt idx="34">
                  <c:v>71</c:v>
                </c:pt>
                <c:pt idx="35">
                  <c:v>69.5</c:v>
                </c:pt>
                <c:pt idx="36">
                  <c:v>72</c:v>
                </c:pt>
                <c:pt idx="37">
                  <c:v>68</c:v>
                </c:pt>
                <c:pt idx="38">
                  <c:v>69</c:v>
                </c:pt>
                <c:pt idx="39">
                  <c:v>62</c:v>
                </c:pt>
                <c:pt idx="40">
                  <c:v>73</c:v>
                </c:pt>
                <c:pt idx="41">
                  <c:v>71</c:v>
                </c:pt>
                <c:pt idx="42">
                  <c:v>75</c:v>
                </c:pt>
                <c:pt idx="43">
                  <c:v>66</c:v>
                </c:pt>
                <c:pt idx="44">
                  <c:v>70</c:v>
                </c:pt>
                <c:pt idx="45">
                  <c:v>75</c:v>
                </c:pt>
                <c:pt idx="46">
                  <c:v>66</c:v>
                </c:pt>
                <c:pt idx="47">
                  <c:v>69</c:v>
                </c:pt>
                <c:pt idx="48">
                  <c:v>68</c:v>
                </c:pt>
                <c:pt idx="49">
                  <c:v>71</c:v>
                </c:pt>
                <c:pt idx="50">
                  <c:v>63</c:v>
                </c:pt>
                <c:pt idx="51">
                  <c:v>68</c:v>
                </c:pt>
                <c:pt idx="52">
                  <c:v>73</c:v>
                </c:pt>
                <c:pt idx="53">
                  <c:v>70</c:v>
                </c:pt>
                <c:pt idx="54">
                  <c:v>73</c:v>
                </c:pt>
                <c:pt idx="55">
                  <c:v>73</c:v>
                </c:pt>
                <c:pt idx="56">
                  <c:v>67</c:v>
                </c:pt>
                <c:pt idx="57">
                  <c:v>71</c:v>
                </c:pt>
                <c:pt idx="58">
                  <c:v>72</c:v>
                </c:pt>
                <c:pt idx="59">
                  <c:v>74</c:v>
                </c:pt>
                <c:pt idx="60">
                  <c:v>62</c:v>
                </c:pt>
                <c:pt idx="61">
                  <c:v>61.75</c:v>
                </c:pt>
                <c:pt idx="62">
                  <c:v>68</c:v>
                </c:pt>
                <c:pt idx="63">
                  <c:v>69</c:v>
                </c:pt>
                <c:pt idx="64">
                  <c:v>72</c:v>
                </c:pt>
                <c:pt idx="65">
                  <c:v>67</c:v>
                </c:pt>
                <c:pt idx="66">
                  <c:v>68</c:v>
                </c:pt>
                <c:pt idx="67">
                  <c:v>72</c:v>
                </c:pt>
                <c:pt idx="68">
                  <c:v>68</c:v>
                </c:pt>
                <c:pt idx="69">
                  <c:v>64</c:v>
                </c:pt>
                <c:pt idx="70">
                  <c:v>68</c:v>
                </c:pt>
                <c:pt idx="71">
                  <c:v>73</c:v>
                </c:pt>
                <c:pt idx="72">
                  <c:v>63</c:v>
                </c:pt>
                <c:pt idx="73">
                  <c:v>72</c:v>
                </c:pt>
                <c:pt idx="74">
                  <c:v>69</c:v>
                </c:pt>
                <c:pt idx="75">
                  <c:v>66</c:v>
                </c:pt>
                <c:pt idx="76">
                  <c:v>65</c:v>
                </c:pt>
                <c:pt idx="77">
                  <c:v>67</c:v>
                </c:pt>
                <c:pt idx="78">
                  <c:v>63</c:v>
                </c:pt>
                <c:pt idx="79">
                  <c:v>69</c:v>
                </c:pt>
                <c:pt idx="80">
                  <c:v>73.5</c:v>
                </c:pt>
                <c:pt idx="81">
                  <c:v>65</c:v>
                </c:pt>
                <c:pt idx="82">
                  <c:v>74</c:v>
                </c:pt>
                <c:pt idx="83">
                  <c:v>67</c:v>
                </c:pt>
                <c:pt idx="84">
                  <c:v>68</c:v>
                </c:pt>
                <c:pt idx="85">
                  <c:v>64</c:v>
                </c:pt>
                <c:pt idx="86">
                  <c:v>70</c:v>
                </c:pt>
                <c:pt idx="87">
                  <c:v>69</c:v>
                </c:pt>
                <c:pt idx="88">
                  <c:v>62</c:v>
                </c:pt>
                <c:pt idx="89">
                  <c:v>61</c:v>
                </c:pt>
                <c:pt idx="90">
                  <c:v>68</c:v>
                </c:pt>
                <c:pt idx="91">
                  <c:v>63</c:v>
                </c:pt>
              </c:numCache>
            </c:numRef>
          </c:xVal>
          <c:yVal>
            <c:numRef>
              <c:f>'1Male|Ht'!$B$3:$B$94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'1Male|Ht'!$T$10</c:f>
              <c:strCache>
                <c:ptCount val="1"/>
                <c:pt idx="0">
                  <c:v>Prob Y=1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'1Male|Ht'!$Q$11:$Q$46</c:f>
              <c:numCache>
                <c:formatCode>0</c:formatCode>
                <c:ptCount val="36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64</c:v>
                </c:pt>
                <c:pt idx="7">
                  <c:v>65</c:v>
                </c:pt>
                <c:pt idx="8">
                  <c:v>66</c:v>
                </c:pt>
                <c:pt idx="9">
                  <c:v>67</c:v>
                </c:pt>
                <c:pt idx="10">
                  <c:v>68</c:v>
                </c:pt>
                <c:pt idx="11">
                  <c:v>69</c:v>
                </c:pt>
                <c:pt idx="12">
                  <c:v>70</c:v>
                </c:pt>
                <c:pt idx="13">
                  <c:v>71</c:v>
                </c:pt>
                <c:pt idx="14">
                  <c:v>72</c:v>
                </c:pt>
                <c:pt idx="15">
                  <c:v>73</c:v>
                </c:pt>
                <c:pt idx="16">
                  <c:v>74</c:v>
                </c:pt>
                <c:pt idx="17">
                  <c:v>75</c:v>
                </c:pt>
                <c:pt idx="18">
                  <c:v>76</c:v>
                </c:pt>
                <c:pt idx="19">
                  <c:v>77</c:v>
                </c:pt>
                <c:pt idx="20">
                  <c:v>78</c:v>
                </c:pt>
                <c:pt idx="21">
                  <c:v>79</c:v>
                </c:pt>
                <c:pt idx="22">
                  <c:v>80</c:v>
                </c:pt>
                <c:pt idx="23">
                  <c:v>81</c:v>
                </c:pt>
                <c:pt idx="24">
                  <c:v>82</c:v>
                </c:pt>
                <c:pt idx="25">
                  <c:v>83</c:v>
                </c:pt>
                <c:pt idx="26">
                  <c:v>84</c:v>
                </c:pt>
                <c:pt idx="27">
                  <c:v>85</c:v>
                </c:pt>
                <c:pt idx="28">
                  <c:v>86</c:v>
                </c:pt>
                <c:pt idx="29">
                  <c:v>87</c:v>
                </c:pt>
                <c:pt idx="30">
                  <c:v>88</c:v>
                </c:pt>
                <c:pt idx="31">
                  <c:v>89</c:v>
                </c:pt>
                <c:pt idx="32">
                  <c:v>90</c:v>
                </c:pt>
                <c:pt idx="33">
                  <c:v>91</c:v>
                </c:pt>
                <c:pt idx="34">
                  <c:v>92</c:v>
                </c:pt>
                <c:pt idx="35">
                  <c:v>93</c:v>
                </c:pt>
              </c:numCache>
            </c:numRef>
          </c:xVal>
          <c:yVal>
            <c:numRef>
              <c:f>'1Male|Ht'!$T$11:$T$46</c:f>
              <c:numCache>
                <c:formatCode>0%</c:formatCode>
                <c:ptCount val="36"/>
                <c:pt idx="0">
                  <c:v>5.6805820634674153E-4</c:v>
                </c:pt>
                <c:pt idx="1">
                  <c:v>1.2514490152225656E-3</c:v>
                </c:pt>
                <c:pt idx="2">
                  <c:v>2.7547131167372885E-3</c:v>
                </c:pt>
                <c:pt idx="3">
                  <c:v>6.0527828364824966E-3</c:v>
                </c:pt>
                <c:pt idx="4">
                  <c:v>1.3247002266217625E-2</c:v>
                </c:pt>
                <c:pt idx="5">
                  <c:v>2.8744839066895806E-2</c:v>
                </c:pt>
                <c:pt idx="6">
                  <c:v>6.124838278950484E-2</c:v>
                </c:pt>
                <c:pt idx="7">
                  <c:v>0.1257472056045488</c:v>
                </c:pt>
                <c:pt idx="8">
                  <c:v>0.24074882332554237</c:v>
                </c:pt>
                <c:pt idx="9">
                  <c:v>0.41142902508819346</c:v>
                </c:pt>
                <c:pt idx="10">
                  <c:v>0.6064601048970143</c:v>
                </c:pt>
                <c:pt idx="11">
                  <c:v>0.77258649358567655</c:v>
                </c:pt>
                <c:pt idx="12">
                  <c:v>0.88220633626931599</c:v>
                </c:pt>
                <c:pt idx="13">
                  <c:v>0.94289207793413443</c:v>
                </c:pt>
                <c:pt idx="14">
                  <c:v>0.97326093138043035</c:v>
                </c:pt>
                <c:pt idx="15">
                  <c:v>0.98769105810414448</c:v>
                </c:pt>
                <c:pt idx="16">
                  <c:v>0.99437873522408593</c:v>
                </c:pt>
                <c:pt idx="17">
                  <c:v>0.99744228233884547</c:v>
                </c:pt>
                <c:pt idx="18">
                  <c:v>0.99883817003719455</c:v>
                </c:pt>
                <c:pt idx="19">
                  <c:v>0.99947264754805087</c:v>
                </c:pt>
                <c:pt idx="20">
                  <c:v>0.99976071871104433</c:v>
                </c:pt>
                <c:pt idx="21">
                  <c:v>0.99989144542349506</c:v>
                </c:pt>
                <c:pt idx="22">
                  <c:v>0.99995075563839542</c:v>
                </c:pt>
                <c:pt idx="23">
                  <c:v>0.99997766166439228</c:v>
                </c:pt>
                <c:pt idx="24">
                  <c:v>0.99998986698404724</c:v>
                </c:pt>
                <c:pt idx="25">
                  <c:v>0.99999540353724858</c:v>
                </c:pt>
                <c:pt idx="26">
                  <c:v>0.9999979149933238</c:v>
                </c:pt>
                <c:pt idx="27">
                  <c:v>0.99999905421905722</c:v>
                </c:pt>
                <c:pt idx="28">
                  <c:v>0.99999957098409076</c:v>
                </c:pt>
                <c:pt idx="29">
                  <c:v>0.99999980539405053</c:v>
                </c:pt>
                <c:pt idx="30">
                  <c:v>0.99999991172478708</c:v>
                </c:pt>
                <c:pt idx="31">
                  <c:v>0.99999995995747926</c:v>
                </c:pt>
                <c:pt idx="32">
                  <c:v>0.999999981836312</c:v>
                </c:pt>
                <c:pt idx="33">
                  <c:v>0.99999999176076948</c:v>
                </c:pt>
                <c:pt idx="34">
                  <c:v>0.99999999626260272</c:v>
                </c:pt>
                <c:pt idx="35">
                  <c:v>0.99999999830467923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'1Male|Ht'!$V$10</c:f>
              <c:strCache>
                <c:ptCount val="1"/>
                <c:pt idx="0">
                  <c:v>pY OLS2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'1Male|Ht'!$Q$11:$Q$51</c:f>
              <c:numCache>
                <c:formatCode>0</c:formatCode>
                <c:ptCount val="41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64</c:v>
                </c:pt>
                <c:pt idx="7">
                  <c:v>65</c:v>
                </c:pt>
                <c:pt idx="8">
                  <c:v>66</c:v>
                </c:pt>
                <c:pt idx="9">
                  <c:v>67</c:v>
                </c:pt>
                <c:pt idx="10">
                  <c:v>68</c:v>
                </c:pt>
                <c:pt idx="11">
                  <c:v>69</c:v>
                </c:pt>
                <c:pt idx="12">
                  <c:v>70</c:v>
                </c:pt>
                <c:pt idx="13">
                  <c:v>71</c:v>
                </c:pt>
                <c:pt idx="14">
                  <c:v>72</c:v>
                </c:pt>
                <c:pt idx="15">
                  <c:v>73</c:v>
                </c:pt>
                <c:pt idx="16">
                  <c:v>74</c:v>
                </c:pt>
                <c:pt idx="17">
                  <c:v>75</c:v>
                </c:pt>
                <c:pt idx="18">
                  <c:v>76</c:v>
                </c:pt>
                <c:pt idx="19">
                  <c:v>77</c:v>
                </c:pt>
                <c:pt idx="20">
                  <c:v>78</c:v>
                </c:pt>
                <c:pt idx="21">
                  <c:v>79</c:v>
                </c:pt>
                <c:pt idx="22">
                  <c:v>80</c:v>
                </c:pt>
                <c:pt idx="23">
                  <c:v>81</c:v>
                </c:pt>
                <c:pt idx="24">
                  <c:v>82</c:v>
                </c:pt>
                <c:pt idx="25">
                  <c:v>83</c:v>
                </c:pt>
                <c:pt idx="26">
                  <c:v>84</c:v>
                </c:pt>
                <c:pt idx="27">
                  <c:v>85</c:v>
                </c:pt>
                <c:pt idx="28">
                  <c:v>86</c:v>
                </c:pt>
                <c:pt idx="29">
                  <c:v>87</c:v>
                </c:pt>
                <c:pt idx="30">
                  <c:v>88</c:v>
                </c:pt>
                <c:pt idx="31">
                  <c:v>89</c:v>
                </c:pt>
                <c:pt idx="32">
                  <c:v>90</c:v>
                </c:pt>
                <c:pt idx="33">
                  <c:v>91</c:v>
                </c:pt>
                <c:pt idx="34">
                  <c:v>92</c:v>
                </c:pt>
                <c:pt idx="35">
                  <c:v>93</c:v>
                </c:pt>
                <c:pt idx="36">
                  <c:v>94</c:v>
                </c:pt>
                <c:pt idx="37">
                  <c:v>95</c:v>
                </c:pt>
                <c:pt idx="38">
                  <c:v>96</c:v>
                </c:pt>
                <c:pt idx="39">
                  <c:v>97</c:v>
                </c:pt>
                <c:pt idx="40">
                  <c:v>98</c:v>
                </c:pt>
              </c:numCache>
            </c:numRef>
          </c:xVal>
          <c:yVal>
            <c:numRef>
              <c:f>'1Male|Ht'!$V$11:$V$51</c:f>
              <c:numCache>
                <c:formatCode>0.00</c:formatCode>
                <c:ptCount val="41"/>
                <c:pt idx="0">
                  <c:v>-1.3820445609436485</c:v>
                </c:pt>
                <c:pt idx="1">
                  <c:v>-1.1952817824377502</c:v>
                </c:pt>
                <c:pt idx="2">
                  <c:v>-1.0085190039318519</c:v>
                </c:pt>
                <c:pt idx="3">
                  <c:v>-0.82175622542595395</c:v>
                </c:pt>
                <c:pt idx="4">
                  <c:v>-0.63499344692005566</c:v>
                </c:pt>
                <c:pt idx="5">
                  <c:v>-0.4482306684141576</c:v>
                </c:pt>
                <c:pt idx="6">
                  <c:v>-0.26146788990825931</c:v>
                </c:pt>
                <c:pt idx="7">
                  <c:v>-7.4705111402361135E-2</c:v>
                </c:pt>
                <c:pt idx="8">
                  <c:v>0.11205766710353715</c:v>
                </c:pt>
                <c:pt idx="9">
                  <c:v>0.29882044560943533</c:v>
                </c:pt>
                <c:pt idx="10">
                  <c:v>0.4855832241153335</c:v>
                </c:pt>
                <c:pt idx="11">
                  <c:v>0.67234600262123179</c:v>
                </c:pt>
                <c:pt idx="12">
                  <c:v>0.85910878112712996</c:v>
                </c:pt>
                <c:pt idx="13">
                  <c:v>1.0458715596330281</c:v>
                </c:pt>
                <c:pt idx="14">
                  <c:v>1.2326343381389262</c:v>
                </c:pt>
                <c:pt idx="15">
                  <c:v>1.4193971166448245</c:v>
                </c:pt>
                <c:pt idx="16">
                  <c:v>1.6061598951507228</c:v>
                </c:pt>
                <c:pt idx="17">
                  <c:v>1.7929226736566211</c:v>
                </c:pt>
                <c:pt idx="18">
                  <c:v>1.9796854521625193</c:v>
                </c:pt>
                <c:pt idx="19">
                  <c:v>2.1664482306684172</c:v>
                </c:pt>
                <c:pt idx="20">
                  <c:v>2.3532110091743155</c:v>
                </c:pt>
                <c:pt idx="21">
                  <c:v>2.5399737876802138</c:v>
                </c:pt>
                <c:pt idx="22">
                  <c:v>2.726736566186112</c:v>
                </c:pt>
                <c:pt idx="23">
                  <c:v>2.9134993446920099</c:v>
                </c:pt>
                <c:pt idx="24">
                  <c:v>3.1002621231979082</c:v>
                </c:pt>
                <c:pt idx="25">
                  <c:v>3.2870249017038065</c:v>
                </c:pt>
                <c:pt idx="26">
                  <c:v>3.4737876802097047</c:v>
                </c:pt>
                <c:pt idx="27">
                  <c:v>3.660550458715603</c:v>
                </c:pt>
                <c:pt idx="28">
                  <c:v>3.8473132372215009</c:v>
                </c:pt>
                <c:pt idx="29">
                  <c:v>4.0340760157273996</c:v>
                </c:pt>
                <c:pt idx="30">
                  <c:v>4.2208387942332974</c:v>
                </c:pt>
                <c:pt idx="31">
                  <c:v>4.4076015727391962</c:v>
                </c:pt>
                <c:pt idx="32">
                  <c:v>4.594364351245094</c:v>
                </c:pt>
                <c:pt idx="33">
                  <c:v>4.7811271297509927</c:v>
                </c:pt>
                <c:pt idx="34">
                  <c:v>4.9678899082568906</c:v>
                </c:pt>
                <c:pt idx="35">
                  <c:v>5.1546526867627893</c:v>
                </c:pt>
                <c:pt idx="36">
                  <c:v>5.3414154652686872</c:v>
                </c:pt>
                <c:pt idx="37">
                  <c:v>5.528178243774585</c:v>
                </c:pt>
                <c:pt idx="38">
                  <c:v>5.7149410222804837</c:v>
                </c:pt>
                <c:pt idx="39">
                  <c:v>5.9017038007863816</c:v>
                </c:pt>
                <c:pt idx="40">
                  <c:v>6.0884665792922803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531872"/>
        <c:axId val="374534224"/>
      </c:scatterChart>
      <c:valAx>
        <c:axId val="374531872"/>
        <c:scaling>
          <c:orientation val="minMax"/>
          <c:max val="76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534224"/>
        <c:crosses val="autoZero"/>
        <c:crossBetween val="midCat"/>
        <c:majorUnit val="2"/>
      </c:valAx>
      <c:valAx>
        <c:axId val="3745342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53187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Height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'1Male|Ht'!$A$2</c:f>
              <c:strCache>
                <c:ptCount val="1"/>
                <c:pt idx="0">
                  <c:v>Weight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'1Male|Ht'!$A$3:$A$94</c:f>
              <c:numCache>
                <c:formatCode>General</c:formatCode>
                <c:ptCount val="92"/>
                <c:pt idx="0">
                  <c:v>68</c:v>
                </c:pt>
                <c:pt idx="1">
                  <c:v>69</c:v>
                </c:pt>
                <c:pt idx="2">
                  <c:v>69</c:v>
                </c:pt>
                <c:pt idx="3">
                  <c:v>72</c:v>
                </c:pt>
                <c:pt idx="4">
                  <c:v>66</c:v>
                </c:pt>
                <c:pt idx="5">
                  <c:v>67</c:v>
                </c:pt>
                <c:pt idx="6">
                  <c:v>71</c:v>
                </c:pt>
                <c:pt idx="7">
                  <c:v>71</c:v>
                </c:pt>
                <c:pt idx="8">
                  <c:v>71.5</c:v>
                </c:pt>
                <c:pt idx="9">
                  <c:v>62</c:v>
                </c:pt>
                <c:pt idx="10">
                  <c:v>65.5</c:v>
                </c:pt>
                <c:pt idx="11">
                  <c:v>73.5</c:v>
                </c:pt>
                <c:pt idx="12">
                  <c:v>72</c:v>
                </c:pt>
                <c:pt idx="13">
                  <c:v>72</c:v>
                </c:pt>
                <c:pt idx="14">
                  <c:v>66</c:v>
                </c:pt>
                <c:pt idx="15">
                  <c:v>62.75</c:v>
                </c:pt>
                <c:pt idx="16">
                  <c:v>74</c:v>
                </c:pt>
                <c:pt idx="17">
                  <c:v>70</c:v>
                </c:pt>
                <c:pt idx="18">
                  <c:v>73</c:v>
                </c:pt>
                <c:pt idx="19">
                  <c:v>65</c:v>
                </c:pt>
                <c:pt idx="20">
                  <c:v>66</c:v>
                </c:pt>
                <c:pt idx="21">
                  <c:v>69</c:v>
                </c:pt>
                <c:pt idx="22">
                  <c:v>75</c:v>
                </c:pt>
                <c:pt idx="23">
                  <c:v>66</c:v>
                </c:pt>
                <c:pt idx="24">
                  <c:v>73</c:v>
                </c:pt>
                <c:pt idx="25">
                  <c:v>69</c:v>
                </c:pt>
                <c:pt idx="26">
                  <c:v>70</c:v>
                </c:pt>
                <c:pt idx="27">
                  <c:v>66</c:v>
                </c:pt>
                <c:pt idx="28">
                  <c:v>65</c:v>
                </c:pt>
                <c:pt idx="29">
                  <c:v>74</c:v>
                </c:pt>
                <c:pt idx="30">
                  <c:v>67</c:v>
                </c:pt>
                <c:pt idx="31">
                  <c:v>74</c:v>
                </c:pt>
                <c:pt idx="32">
                  <c:v>70</c:v>
                </c:pt>
                <c:pt idx="33">
                  <c:v>67</c:v>
                </c:pt>
                <c:pt idx="34">
                  <c:v>71</c:v>
                </c:pt>
                <c:pt idx="35">
                  <c:v>69.5</c:v>
                </c:pt>
                <c:pt idx="36">
                  <c:v>72</c:v>
                </c:pt>
                <c:pt idx="37">
                  <c:v>68</c:v>
                </c:pt>
                <c:pt idx="38">
                  <c:v>69</c:v>
                </c:pt>
                <c:pt idx="39">
                  <c:v>62</c:v>
                </c:pt>
                <c:pt idx="40">
                  <c:v>73</c:v>
                </c:pt>
                <c:pt idx="41">
                  <c:v>71</c:v>
                </c:pt>
                <c:pt idx="42">
                  <c:v>75</c:v>
                </c:pt>
                <c:pt idx="43">
                  <c:v>66</c:v>
                </c:pt>
                <c:pt idx="44">
                  <c:v>70</c:v>
                </c:pt>
                <c:pt idx="45">
                  <c:v>75</c:v>
                </c:pt>
                <c:pt idx="46">
                  <c:v>66</c:v>
                </c:pt>
                <c:pt idx="47">
                  <c:v>69</c:v>
                </c:pt>
                <c:pt idx="48">
                  <c:v>68</c:v>
                </c:pt>
                <c:pt idx="49">
                  <c:v>71</c:v>
                </c:pt>
                <c:pt idx="50">
                  <c:v>63</c:v>
                </c:pt>
                <c:pt idx="51">
                  <c:v>68</c:v>
                </c:pt>
                <c:pt idx="52">
                  <c:v>73</c:v>
                </c:pt>
                <c:pt idx="53">
                  <c:v>70</c:v>
                </c:pt>
                <c:pt idx="54">
                  <c:v>73</c:v>
                </c:pt>
                <c:pt idx="55">
                  <c:v>73</c:v>
                </c:pt>
                <c:pt idx="56">
                  <c:v>67</c:v>
                </c:pt>
                <c:pt idx="57">
                  <c:v>71</c:v>
                </c:pt>
                <c:pt idx="58">
                  <c:v>72</c:v>
                </c:pt>
                <c:pt idx="59">
                  <c:v>74</c:v>
                </c:pt>
                <c:pt idx="60">
                  <c:v>62</c:v>
                </c:pt>
                <c:pt idx="61">
                  <c:v>61.75</c:v>
                </c:pt>
                <c:pt idx="62">
                  <c:v>68</c:v>
                </c:pt>
                <c:pt idx="63">
                  <c:v>69</c:v>
                </c:pt>
                <c:pt idx="64">
                  <c:v>72</c:v>
                </c:pt>
                <c:pt idx="65">
                  <c:v>67</c:v>
                </c:pt>
                <c:pt idx="66">
                  <c:v>68</c:v>
                </c:pt>
                <c:pt idx="67">
                  <c:v>72</c:v>
                </c:pt>
                <c:pt idx="68">
                  <c:v>68</c:v>
                </c:pt>
                <c:pt idx="69">
                  <c:v>64</c:v>
                </c:pt>
                <c:pt idx="70">
                  <c:v>68</c:v>
                </c:pt>
                <c:pt idx="71">
                  <c:v>73</c:v>
                </c:pt>
                <c:pt idx="72">
                  <c:v>63</c:v>
                </c:pt>
                <c:pt idx="73">
                  <c:v>72</c:v>
                </c:pt>
                <c:pt idx="74">
                  <c:v>69</c:v>
                </c:pt>
                <c:pt idx="75">
                  <c:v>66</c:v>
                </c:pt>
                <c:pt idx="76">
                  <c:v>65</c:v>
                </c:pt>
                <c:pt idx="77">
                  <c:v>67</c:v>
                </c:pt>
                <c:pt idx="78">
                  <c:v>63</c:v>
                </c:pt>
                <c:pt idx="79">
                  <c:v>69</c:v>
                </c:pt>
                <c:pt idx="80">
                  <c:v>73.5</c:v>
                </c:pt>
                <c:pt idx="81">
                  <c:v>65</c:v>
                </c:pt>
                <c:pt idx="82">
                  <c:v>74</c:v>
                </c:pt>
                <c:pt idx="83">
                  <c:v>67</c:v>
                </c:pt>
                <c:pt idx="84">
                  <c:v>68</c:v>
                </c:pt>
                <c:pt idx="85">
                  <c:v>64</c:v>
                </c:pt>
                <c:pt idx="86">
                  <c:v>70</c:v>
                </c:pt>
                <c:pt idx="87">
                  <c:v>69</c:v>
                </c:pt>
                <c:pt idx="88">
                  <c:v>62</c:v>
                </c:pt>
                <c:pt idx="89">
                  <c:v>61</c:v>
                </c:pt>
                <c:pt idx="90">
                  <c:v>68</c:v>
                </c:pt>
                <c:pt idx="91">
                  <c:v>63</c:v>
                </c:pt>
              </c:numCache>
            </c:numRef>
          </c:xVal>
          <c:yVal>
            <c:numRef>
              <c:f>'1Male|Ht'!$B$3:$B$94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'1Male|Ht'!$Q$10</c:f>
              <c:strCache>
                <c:ptCount val="1"/>
                <c:pt idx="0">
                  <c:v>Q-Axis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'1Male|Ht'!$Q$11:$Q$51</c:f>
              <c:numCache>
                <c:formatCode>0</c:formatCode>
                <c:ptCount val="41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64</c:v>
                </c:pt>
                <c:pt idx="7">
                  <c:v>65</c:v>
                </c:pt>
                <c:pt idx="8">
                  <c:v>66</c:v>
                </c:pt>
                <c:pt idx="9">
                  <c:v>67</c:v>
                </c:pt>
                <c:pt idx="10">
                  <c:v>68</c:v>
                </c:pt>
                <c:pt idx="11">
                  <c:v>69</c:v>
                </c:pt>
                <c:pt idx="12">
                  <c:v>70</c:v>
                </c:pt>
                <c:pt idx="13">
                  <c:v>71</c:v>
                </c:pt>
                <c:pt idx="14">
                  <c:v>72</c:v>
                </c:pt>
                <c:pt idx="15">
                  <c:v>73</c:v>
                </c:pt>
                <c:pt idx="16">
                  <c:v>74</c:v>
                </c:pt>
                <c:pt idx="17">
                  <c:v>75</c:v>
                </c:pt>
                <c:pt idx="18">
                  <c:v>76</c:v>
                </c:pt>
                <c:pt idx="19">
                  <c:v>77</c:v>
                </c:pt>
                <c:pt idx="20">
                  <c:v>78</c:v>
                </c:pt>
                <c:pt idx="21">
                  <c:v>79</c:v>
                </c:pt>
                <c:pt idx="22">
                  <c:v>80</c:v>
                </c:pt>
                <c:pt idx="23">
                  <c:v>81</c:v>
                </c:pt>
                <c:pt idx="24">
                  <c:v>82</c:v>
                </c:pt>
                <c:pt idx="25">
                  <c:v>83</c:v>
                </c:pt>
                <c:pt idx="26">
                  <c:v>84</c:v>
                </c:pt>
                <c:pt idx="27">
                  <c:v>85</c:v>
                </c:pt>
                <c:pt idx="28">
                  <c:v>86</c:v>
                </c:pt>
                <c:pt idx="29">
                  <c:v>87</c:v>
                </c:pt>
                <c:pt idx="30">
                  <c:v>88</c:v>
                </c:pt>
                <c:pt idx="31">
                  <c:v>89</c:v>
                </c:pt>
                <c:pt idx="32">
                  <c:v>90</c:v>
                </c:pt>
                <c:pt idx="33">
                  <c:v>91</c:v>
                </c:pt>
                <c:pt idx="34">
                  <c:v>92</c:v>
                </c:pt>
                <c:pt idx="35">
                  <c:v>93</c:v>
                </c:pt>
                <c:pt idx="36">
                  <c:v>94</c:v>
                </c:pt>
                <c:pt idx="37">
                  <c:v>95</c:v>
                </c:pt>
                <c:pt idx="38">
                  <c:v>96</c:v>
                </c:pt>
                <c:pt idx="39">
                  <c:v>97</c:v>
                </c:pt>
                <c:pt idx="40">
                  <c:v>98</c:v>
                </c:pt>
              </c:numCache>
            </c:numRef>
          </c:xVal>
          <c:yVal>
            <c:numRef>
              <c:f>'1Male|Ht'!$T$11:$T$51</c:f>
              <c:numCache>
                <c:formatCode>0%</c:formatCode>
                <c:ptCount val="41"/>
                <c:pt idx="0">
                  <c:v>5.6805820634674153E-4</c:v>
                </c:pt>
                <c:pt idx="1">
                  <c:v>1.2514490152225656E-3</c:v>
                </c:pt>
                <c:pt idx="2">
                  <c:v>2.7547131167372885E-3</c:v>
                </c:pt>
                <c:pt idx="3">
                  <c:v>6.0527828364824966E-3</c:v>
                </c:pt>
                <c:pt idx="4">
                  <c:v>1.3247002266217625E-2</c:v>
                </c:pt>
                <c:pt idx="5">
                  <c:v>2.8744839066895806E-2</c:v>
                </c:pt>
                <c:pt idx="6">
                  <c:v>6.124838278950484E-2</c:v>
                </c:pt>
                <c:pt idx="7">
                  <c:v>0.1257472056045488</c:v>
                </c:pt>
                <c:pt idx="8">
                  <c:v>0.24074882332554237</c:v>
                </c:pt>
                <c:pt idx="9">
                  <c:v>0.41142902508819346</c:v>
                </c:pt>
                <c:pt idx="10">
                  <c:v>0.6064601048970143</c:v>
                </c:pt>
                <c:pt idx="11">
                  <c:v>0.77258649358567655</c:v>
                </c:pt>
                <c:pt idx="12">
                  <c:v>0.88220633626931599</c:v>
                </c:pt>
                <c:pt idx="13">
                  <c:v>0.94289207793413443</c:v>
                </c:pt>
                <c:pt idx="14">
                  <c:v>0.97326093138043035</c:v>
                </c:pt>
                <c:pt idx="15">
                  <c:v>0.98769105810414448</c:v>
                </c:pt>
                <c:pt idx="16">
                  <c:v>0.99437873522408593</c:v>
                </c:pt>
                <c:pt idx="17">
                  <c:v>0.99744228233884547</c:v>
                </c:pt>
                <c:pt idx="18">
                  <c:v>0.99883817003719455</c:v>
                </c:pt>
                <c:pt idx="19">
                  <c:v>0.99947264754805087</c:v>
                </c:pt>
                <c:pt idx="20">
                  <c:v>0.99976071871104433</c:v>
                </c:pt>
                <c:pt idx="21">
                  <c:v>0.99989144542349506</c:v>
                </c:pt>
                <c:pt idx="22">
                  <c:v>0.99995075563839542</c:v>
                </c:pt>
                <c:pt idx="23">
                  <c:v>0.99997766166439228</c:v>
                </c:pt>
                <c:pt idx="24">
                  <c:v>0.99998986698404724</c:v>
                </c:pt>
                <c:pt idx="25">
                  <c:v>0.99999540353724858</c:v>
                </c:pt>
                <c:pt idx="26">
                  <c:v>0.9999979149933238</c:v>
                </c:pt>
                <c:pt idx="27">
                  <c:v>0.99999905421905722</c:v>
                </c:pt>
                <c:pt idx="28">
                  <c:v>0.99999957098409076</c:v>
                </c:pt>
                <c:pt idx="29">
                  <c:v>0.99999980539405053</c:v>
                </c:pt>
                <c:pt idx="30">
                  <c:v>0.99999991172478708</c:v>
                </c:pt>
                <c:pt idx="31">
                  <c:v>0.99999995995747926</c:v>
                </c:pt>
                <c:pt idx="32">
                  <c:v>0.999999981836312</c:v>
                </c:pt>
                <c:pt idx="33">
                  <c:v>0.99999999176076948</c:v>
                </c:pt>
                <c:pt idx="34">
                  <c:v>0.99999999626260272</c:v>
                </c:pt>
                <c:pt idx="35">
                  <c:v>0.99999999830467923</c:v>
                </c:pt>
                <c:pt idx="36">
                  <c:v>0.99999999923098559</c:v>
                </c:pt>
                <c:pt idx="37">
                  <c:v>0.99999999965116737</c:v>
                </c:pt>
                <c:pt idx="38">
                  <c:v>0.99999999984176602</c:v>
                </c:pt>
                <c:pt idx="39">
                  <c:v>0.99999999992822353</c:v>
                </c:pt>
                <c:pt idx="40">
                  <c:v>0.99999999996744149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527952"/>
        <c:axId val="374537360"/>
      </c:scatterChart>
      <c:valAx>
        <c:axId val="374527952"/>
        <c:scaling>
          <c:orientation val="minMax"/>
          <c:max val="76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537360"/>
        <c:crosses val="autoZero"/>
        <c:crossBetween val="midCat"/>
        <c:majorUnit val="2"/>
      </c:valAx>
      <c:valAx>
        <c:axId val="3745373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527952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solidFill>
                  <a:schemeClr val="tx1"/>
                </a:solidFill>
              </a:rPr>
              <a:t>Gender by Height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'1Male|Ht'!$B$2</c:f>
              <c:strCache>
                <c:ptCount val="1"/>
                <c:pt idx="0">
                  <c:v>Male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'1Male|Ht'!$A$3:$A$94</c:f>
              <c:numCache>
                <c:formatCode>General</c:formatCode>
                <c:ptCount val="92"/>
                <c:pt idx="0">
                  <c:v>68</c:v>
                </c:pt>
                <c:pt idx="1">
                  <c:v>69</c:v>
                </c:pt>
                <c:pt idx="2">
                  <c:v>69</c:v>
                </c:pt>
                <c:pt idx="3">
                  <c:v>72</c:v>
                </c:pt>
                <c:pt idx="4">
                  <c:v>66</c:v>
                </c:pt>
                <c:pt idx="5">
                  <c:v>67</c:v>
                </c:pt>
                <c:pt idx="6">
                  <c:v>71</c:v>
                </c:pt>
                <c:pt idx="7">
                  <c:v>71</c:v>
                </c:pt>
                <c:pt idx="8">
                  <c:v>71.5</c:v>
                </c:pt>
                <c:pt idx="9">
                  <c:v>62</c:v>
                </c:pt>
                <c:pt idx="10">
                  <c:v>65.5</c:v>
                </c:pt>
                <c:pt idx="11">
                  <c:v>73.5</c:v>
                </c:pt>
                <c:pt idx="12">
                  <c:v>72</c:v>
                </c:pt>
                <c:pt idx="13">
                  <c:v>72</c:v>
                </c:pt>
                <c:pt idx="14">
                  <c:v>66</c:v>
                </c:pt>
                <c:pt idx="15">
                  <c:v>62.75</c:v>
                </c:pt>
                <c:pt idx="16">
                  <c:v>74</c:v>
                </c:pt>
                <c:pt idx="17">
                  <c:v>70</c:v>
                </c:pt>
                <c:pt idx="18">
                  <c:v>73</c:v>
                </c:pt>
                <c:pt idx="19">
                  <c:v>65</c:v>
                </c:pt>
                <c:pt idx="20">
                  <c:v>66</c:v>
                </c:pt>
                <c:pt idx="21">
                  <c:v>69</c:v>
                </c:pt>
                <c:pt idx="22">
                  <c:v>75</c:v>
                </c:pt>
                <c:pt idx="23">
                  <c:v>66</c:v>
                </c:pt>
                <c:pt idx="24">
                  <c:v>73</c:v>
                </c:pt>
                <c:pt idx="25">
                  <c:v>69</c:v>
                </c:pt>
                <c:pt idx="26">
                  <c:v>70</c:v>
                </c:pt>
                <c:pt idx="27">
                  <c:v>66</c:v>
                </c:pt>
                <c:pt idx="28">
                  <c:v>65</c:v>
                </c:pt>
                <c:pt idx="29">
                  <c:v>74</c:v>
                </c:pt>
                <c:pt idx="30">
                  <c:v>67</c:v>
                </c:pt>
                <c:pt idx="31">
                  <c:v>74</c:v>
                </c:pt>
                <c:pt idx="32">
                  <c:v>70</c:v>
                </c:pt>
                <c:pt idx="33">
                  <c:v>67</c:v>
                </c:pt>
                <c:pt idx="34">
                  <c:v>71</c:v>
                </c:pt>
                <c:pt idx="35">
                  <c:v>69.5</c:v>
                </c:pt>
                <c:pt idx="36">
                  <c:v>72</c:v>
                </c:pt>
                <c:pt idx="37">
                  <c:v>68</c:v>
                </c:pt>
                <c:pt idx="38">
                  <c:v>69</c:v>
                </c:pt>
                <c:pt idx="39">
                  <c:v>62</c:v>
                </c:pt>
                <c:pt idx="40">
                  <c:v>73</c:v>
                </c:pt>
                <c:pt idx="41">
                  <c:v>71</c:v>
                </c:pt>
                <c:pt idx="42">
                  <c:v>75</c:v>
                </c:pt>
                <c:pt idx="43">
                  <c:v>66</c:v>
                </c:pt>
                <c:pt idx="44">
                  <c:v>70</c:v>
                </c:pt>
                <c:pt idx="45">
                  <c:v>75</c:v>
                </c:pt>
                <c:pt idx="46">
                  <c:v>66</c:v>
                </c:pt>
                <c:pt idx="47">
                  <c:v>69</c:v>
                </c:pt>
                <c:pt idx="48">
                  <c:v>68</c:v>
                </c:pt>
                <c:pt idx="49">
                  <c:v>71</c:v>
                </c:pt>
                <c:pt idx="50">
                  <c:v>63</c:v>
                </c:pt>
                <c:pt idx="51">
                  <c:v>68</c:v>
                </c:pt>
                <c:pt idx="52">
                  <c:v>73</c:v>
                </c:pt>
                <c:pt idx="53">
                  <c:v>70</c:v>
                </c:pt>
                <c:pt idx="54">
                  <c:v>73</c:v>
                </c:pt>
                <c:pt idx="55">
                  <c:v>73</c:v>
                </c:pt>
                <c:pt idx="56">
                  <c:v>67</c:v>
                </c:pt>
                <c:pt idx="57">
                  <c:v>71</c:v>
                </c:pt>
                <c:pt idx="58">
                  <c:v>72</c:v>
                </c:pt>
                <c:pt idx="59">
                  <c:v>74</c:v>
                </c:pt>
                <c:pt idx="60">
                  <c:v>62</c:v>
                </c:pt>
                <c:pt idx="61">
                  <c:v>61.75</c:v>
                </c:pt>
                <c:pt idx="62">
                  <c:v>68</c:v>
                </c:pt>
                <c:pt idx="63">
                  <c:v>69</c:v>
                </c:pt>
                <c:pt idx="64">
                  <c:v>72</c:v>
                </c:pt>
                <c:pt idx="65">
                  <c:v>67</c:v>
                </c:pt>
                <c:pt idx="66">
                  <c:v>68</c:v>
                </c:pt>
                <c:pt idx="67">
                  <c:v>72</c:v>
                </c:pt>
                <c:pt idx="68">
                  <c:v>68</c:v>
                </c:pt>
                <c:pt idx="69">
                  <c:v>64</c:v>
                </c:pt>
                <c:pt idx="70">
                  <c:v>68</c:v>
                </c:pt>
                <c:pt idx="71">
                  <c:v>73</c:v>
                </c:pt>
                <c:pt idx="72">
                  <c:v>63</c:v>
                </c:pt>
                <c:pt idx="73">
                  <c:v>72</c:v>
                </c:pt>
                <c:pt idx="74">
                  <c:v>69</c:v>
                </c:pt>
                <c:pt idx="75">
                  <c:v>66</c:v>
                </c:pt>
                <c:pt idx="76">
                  <c:v>65</c:v>
                </c:pt>
                <c:pt idx="77">
                  <c:v>67</c:v>
                </c:pt>
                <c:pt idx="78">
                  <c:v>63</c:v>
                </c:pt>
                <c:pt idx="79">
                  <c:v>69</c:v>
                </c:pt>
                <c:pt idx="80">
                  <c:v>73.5</c:v>
                </c:pt>
                <c:pt idx="81">
                  <c:v>65</c:v>
                </c:pt>
                <c:pt idx="82">
                  <c:v>74</c:v>
                </c:pt>
                <c:pt idx="83">
                  <c:v>67</c:v>
                </c:pt>
                <c:pt idx="84">
                  <c:v>68</c:v>
                </c:pt>
                <c:pt idx="85">
                  <c:v>64</c:v>
                </c:pt>
                <c:pt idx="86">
                  <c:v>70</c:v>
                </c:pt>
                <c:pt idx="87">
                  <c:v>69</c:v>
                </c:pt>
                <c:pt idx="88">
                  <c:v>62</c:v>
                </c:pt>
                <c:pt idx="89">
                  <c:v>61</c:v>
                </c:pt>
                <c:pt idx="90">
                  <c:v>68</c:v>
                </c:pt>
                <c:pt idx="91">
                  <c:v>63</c:v>
                </c:pt>
              </c:numCache>
            </c:numRef>
          </c:xVal>
          <c:yVal>
            <c:numRef>
              <c:f>'1Male|Ht'!$B$3:$B$94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'1Male|Ht'!$V$10</c:f>
              <c:strCache>
                <c:ptCount val="1"/>
                <c:pt idx="0">
                  <c:v>pY OLS2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'1Male|Ht'!$Q$11:$Q$51</c:f>
              <c:numCache>
                <c:formatCode>0</c:formatCode>
                <c:ptCount val="41"/>
                <c:pt idx="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64</c:v>
                </c:pt>
                <c:pt idx="7">
                  <c:v>65</c:v>
                </c:pt>
                <c:pt idx="8">
                  <c:v>66</c:v>
                </c:pt>
                <c:pt idx="9">
                  <c:v>67</c:v>
                </c:pt>
                <c:pt idx="10">
                  <c:v>68</c:v>
                </c:pt>
                <c:pt idx="11">
                  <c:v>69</c:v>
                </c:pt>
                <c:pt idx="12">
                  <c:v>70</c:v>
                </c:pt>
                <c:pt idx="13">
                  <c:v>71</c:v>
                </c:pt>
                <c:pt idx="14">
                  <c:v>72</c:v>
                </c:pt>
                <c:pt idx="15">
                  <c:v>73</c:v>
                </c:pt>
                <c:pt idx="16">
                  <c:v>74</c:v>
                </c:pt>
                <c:pt idx="17">
                  <c:v>75</c:v>
                </c:pt>
                <c:pt idx="18">
                  <c:v>76</c:v>
                </c:pt>
                <c:pt idx="19">
                  <c:v>77</c:v>
                </c:pt>
                <c:pt idx="20">
                  <c:v>78</c:v>
                </c:pt>
                <c:pt idx="21">
                  <c:v>79</c:v>
                </c:pt>
                <c:pt idx="22">
                  <c:v>80</c:v>
                </c:pt>
                <c:pt idx="23">
                  <c:v>81</c:v>
                </c:pt>
                <c:pt idx="24">
                  <c:v>82</c:v>
                </c:pt>
                <c:pt idx="25">
                  <c:v>83</c:v>
                </c:pt>
                <c:pt idx="26">
                  <c:v>84</c:v>
                </c:pt>
                <c:pt idx="27">
                  <c:v>85</c:v>
                </c:pt>
                <c:pt idx="28">
                  <c:v>86</c:v>
                </c:pt>
                <c:pt idx="29">
                  <c:v>87</c:v>
                </c:pt>
                <c:pt idx="30">
                  <c:v>88</c:v>
                </c:pt>
                <c:pt idx="31">
                  <c:v>89</c:v>
                </c:pt>
                <c:pt idx="32">
                  <c:v>90</c:v>
                </c:pt>
                <c:pt idx="33">
                  <c:v>91</c:v>
                </c:pt>
                <c:pt idx="34">
                  <c:v>92</c:v>
                </c:pt>
                <c:pt idx="35">
                  <c:v>93</c:v>
                </c:pt>
                <c:pt idx="36">
                  <c:v>94</c:v>
                </c:pt>
                <c:pt idx="37">
                  <c:v>95</c:v>
                </c:pt>
                <c:pt idx="38">
                  <c:v>96</c:v>
                </c:pt>
                <c:pt idx="39">
                  <c:v>97</c:v>
                </c:pt>
                <c:pt idx="40">
                  <c:v>98</c:v>
                </c:pt>
              </c:numCache>
            </c:numRef>
          </c:xVal>
          <c:yVal>
            <c:numRef>
              <c:f>'1Male|Ht'!$V$11:$V$51</c:f>
              <c:numCache>
                <c:formatCode>0.00</c:formatCode>
                <c:ptCount val="41"/>
                <c:pt idx="0">
                  <c:v>-1.3820445609436485</c:v>
                </c:pt>
                <c:pt idx="1">
                  <c:v>-1.1952817824377502</c:v>
                </c:pt>
                <c:pt idx="2">
                  <c:v>-1.0085190039318519</c:v>
                </c:pt>
                <c:pt idx="3">
                  <c:v>-0.82175622542595395</c:v>
                </c:pt>
                <c:pt idx="4">
                  <c:v>-0.63499344692005566</c:v>
                </c:pt>
                <c:pt idx="5">
                  <c:v>-0.4482306684141576</c:v>
                </c:pt>
                <c:pt idx="6">
                  <c:v>-0.26146788990825931</c:v>
                </c:pt>
                <c:pt idx="7">
                  <c:v>-7.4705111402361135E-2</c:v>
                </c:pt>
                <c:pt idx="8">
                  <c:v>0.11205766710353715</c:v>
                </c:pt>
                <c:pt idx="9">
                  <c:v>0.29882044560943533</c:v>
                </c:pt>
                <c:pt idx="10">
                  <c:v>0.4855832241153335</c:v>
                </c:pt>
                <c:pt idx="11">
                  <c:v>0.67234600262123179</c:v>
                </c:pt>
                <c:pt idx="12">
                  <c:v>0.85910878112712996</c:v>
                </c:pt>
                <c:pt idx="13">
                  <c:v>1.0458715596330281</c:v>
                </c:pt>
                <c:pt idx="14">
                  <c:v>1.2326343381389262</c:v>
                </c:pt>
                <c:pt idx="15">
                  <c:v>1.4193971166448245</c:v>
                </c:pt>
                <c:pt idx="16">
                  <c:v>1.6061598951507228</c:v>
                </c:pt>
                <c:pt idx="17">
                  <c:v>1.7929226736566211</c:v>
                </c:pt>
                <c:pt idx="18">
                  <c:v>1.9796854521625193</c:v>
                </c:pt>
                <c:pt idx="19">
                  <c:v>2.1664482306684172</c:v>
                </c:pt>
                <c:pt idx="20">
                  <c:v>2.3532110091743155</c:v>
                </c:pt>
                <c:pt idx="21">
                  <c:v>2.5399737876802138</c:v>
                </c:pt>
                <c:pt idx="22">
                  <c:v>2.726736566186112</c:v>
                </c:pt>
                <c:pt idx="23">
                  <c:v>2.9134993446920099</c:v>
                </c:pt>
                <c:pt idx="24">
                  <c:v>3.1002621231979082</c:v>
                </c:pt>
                <c:pt idx="25">
                  <c:v>3.2870249017038065</c:v>
                </c:pt>
                <c:pt idx="26">
                  <c:v>3.4737876802097047</c:v>
                </c:pt>
                <c:pt idx="27">
                  <c:v>3.660550458715603</c:v>
                </c:pt>
                <c:pt idx="28">
                  <c:v>3.8473132372215009</c:v>
                </c:pt>
                <c:pt idx="29">
                  <c:v>4.0340760157273996</c:v>
                </c:pt>
                <c:pt idx="30">
                  <c:v>4.2208387942332974</c:v>
                </c:pt>
                <c:pt idx="31">
                  <c:v>4.4076015727391962</c:v>
                </c:pt>
                <c:pt idx="32">
                  <c:v>4.594364351245094</c:v>
                </c:pt>
                <c:pt idx="33">
                  <c:v>4.7811271297509927</c:v>
                </c:pt>
                <c:pt idx="34">
                  <c:v>4.9678899082568906</c:v>
                </c:pt>
                <c:pt idx="35">
                  <c:v>5.1546526867627893</c:v>
                </c:pt>
                <c:pt idx="36">
                  <c:v>5.3414154652686872</c:v>
                </c:pt>
                <c:pt idx="37">
                  <c:v>5.528178243774585</c:v>
                </c:pt>
                <c:pt idx="38">
                  <c:v>5.7149410222804837</c:v>
                </c:pt>
                <c:pt idx="39">
                  <c:v>5.9017038007863816</c:v>
                </c:pt>
                <c:pt idx="40">
                  <c:v>6.0884665792922803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535792"/>
        <c:axId val="239970928"/>
      </c:scatterChart>
      <c:valAx>
        <c:axId val="374535792"/>
        <c:scaling>
          <c:orientation val="minMax"/>
          <c:max val="76"/>
          <c:min val="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Height (inches)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970928"/>
        <c:crosses val="autoZero"/>
        <c:crossBetween val="midCat"/>
        <c:majorUnit val="2"/>
      </c:valAx>
      <c:valAx>
        <c:axId val="23997092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baseline="0"/>
                  <a:t>Probability (Male)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53579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Gender by Weight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79073002310043"/>
          <c:y val="0.18348388743073782"/>
          <c:w val="0.81087498447552098"/>
          <c:h val="0.596693642461359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'2Male|Wt'!$B$2</c:f>
              <c:strCache>
                <c:ptCount val="1"/>
                <c:pt idx="0">
                  <c:v>Male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9791666666666666E-2"/>
                  <c:y val="0.1220716681248177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y = 0.0146x - 1.4956</a:t>
                    </a:r>
                    <a:br>
                      <a:rPr lang="en-US" sz="1000" b="1" baseline="0">
                        <a:solidFill>
                          <a:schemeClr val="tx1"/>
                        </a:solidFill>
                      </a:rPr>
                    </a:br>
                    <a:r>
                      <a:rPr lang="en-US" sz="1000" b="1" baseline="0">
                        <a:solidFill>
                          <a:schemeClr val="tx1"/>
                        </a:solidFill>
                      </a:rPr>
                      <a:t>R² = 0.5022</a:t>
                    </a:r>
                    <a:endParaRPr lang="en-US" sz="1000" b="1">
                      <a:solidFill>
                        <a:schemeClr val="tx1"/>
                      </a:solidFill>
                    </a:endParaRP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'2Male|Wt'!$A$3:$A$94</c:f>
              <c:numCache>
                <c:formatCode>General</c:formatCode>
                <c:ptCount val="92"/>
                <c:pt idx="0">
                  <c:v>150</c:v>
                </c:pt>
                <c:pt idx="1">
                  <c:v>145</c:v>
                </c:pt>
                <c:pt idx="2">
                  <c:v>160</c:v>
                </c:pt>
                <c:pt idx="3">
                  <c:v>145</c:v>
                </c:pt>
                <c:pt idx="4">
                  <c:v>135</c:v>
                </c:pt>
                <c:pt idx="5">
                  <c:v>125</c:v>
                </c:pt>
                <c:pt idx="6">
                  <c:v>170</c:v>
                </c:pt>
                <c:pt idx="7">
                  <c:v>155</c:v>
                </c:pt>
                <c:pt idx="8">
                  <c:v>164</c:v>
                </c:pt>
                <c:pt idx="9">
                  <c:v>120</c:v>
                </c:pt>
                <c:pt idx="10">
                  <c:v>120</c:v>
                </c:pt>
                <c:pt idx="11">
                  <c:v>160</c:v>
                </c:pt>
                <c:pt idx="12">
                  <c:v>195</c:v>
                </c:pt>
                <c:pt idx="13">
                  <c:v>175</c:v>
                </c:pt>
                <c:pt idx="14">
                  <c:v>120</c:v>
                </c:pt>
                <c:pt idx="15">
                  <c:v>112</c:v>
                </c:pt>
                <c:pt idx="16">
                  <c:v>190</c:v>
                </c:pt>
                <c:pt idx="17">
                  <c:v>155</c:v>
                </c:pt>
                <c:pt idx="18">
                  <c:v>155</c:v>
                </c:pt>
                <c:pt idx="19">
                  <c:v>122</c:v>
                </c:pt>
                <c:pt idx="20">
                  <c:v>140</c:v>
                </c:pt>
                <c:pt idx="21">
                  <c:v>155</c:v>
                </c:pt>
                <c:pt idx="22">
                  <c:v>160</c:v>
                </c:pt>
                <c:pt idx="23">
                  <c:v>130</c:v>
                </c:pt>
                <c:pt idx="24">
                  <c:v>190</c:v>
                </c:pt>
                <c:pt idx="25">
                  <c:v>175</c:v>
                </c:pt>
                <c:pt idx="26">
                  <c:v>130</c:v>
                </c:pt>
                <c:pt idx="27">
                  <c:v>125</c:v>
                </c:pt>
                <c:pt idx="28">
                  <c:v>115</c:v>
                </c:pt>
                <c:pt idx="29">
                  <c:v>190</c:v>
                </c:pt>
                <c:pt idx="30">
                  <c:v>145</c:v>
                </c:pt>
                <c:pt idx="31">
                  <c:v>180</c:v>
                </c:pt>
                <c:pt idx="32">
                  <c:v>125</c:v>
                </c:pt>
                <c:pt idx="33">
                  <c:v>150</c:v>
                </c:pt>
                <c:pt idx="34">
                  <c:v>150</c:v>
                </c:pt>
                <c:pt idx="35">
                  <c:v>150</c:v>
                </c:pt>
                <c:pt idx="36">
                  <c:v>142</c:v>
                </c:pt>
                <c:pt idx="37">
                  <c:v>155</c:v>
                </c:pt>
                <c:pt idx="38">
                  <c:v>150</c:v>
                </c:pt>
                <c:pt idx="39">
                  <c:v>110</c:v>
                </c:pt>
                <c:pt idx="40">
                  <c:v>170</c:v>
                </c:pt>
                <c:pt idx="41">
                  <c:v>170</c:v>
                </c:pt>
                <c:pt idx="42">
                  <c:v>185</c:v>
                </c:pt>
                <c:pt idx="43">
                  <c:v>130</c:v>
                </c:pt>
                <c:pt idx="44">
                  <c:v>150</c:v>
                </c:pt>
                <c:pt idx="45">
                  <c:v>190</c:v>
                </c:pt>
                <c:pt idx="46">
                  <c:v>135</c:v>
                </c:pt>
                <c:pt idx="47">
                  <c:v>170</c:v>
                </c:pt>
                <c:pt idx="48">
                  <c:v>155</c:v>
                </c:pt>
                <c:pt idx="49">
                  <c:v>140</c:v>
                </c:pt>
                <c:pt idx="50">
                  <c:v>118</c:v>
                </c:pt>
                <c:pt idx="51">
                  <c:v>110</c:v>
                </c:pt>
                <c:pt idx="52">
                  <c:v>165</c:v>
                </c:pt>
                <c:pt idx="53">
                  <c:v>157</c:v>
                </c:pt>
                <c:pt idx="54">
                  <c:v>155</c:v>
                </c:pt>
                <c:pt idx="55">
                  <c:v>155</c:v>
                </c:pt>
                <c:pt idx="56">
                  <c:v>123</c:v>
                </c:pt>
                <c:pt idx="57">
                  <c:v>138</c:v>
                </c:pt>
                <c:pt idx="58">
                  <c:v>215</c:v>
                </c:pt>
                <c:pt idx="59">
                  <c:v>148</c:v>
                </c:pt>
                <c:pt idx="60">
                  <c:v>108</c:v>
                </c:pt>
                <c:pt idx="61">
                  <c:v>108</c:v>
                </c:pt>
                <c:pt idx="62">
                  <c:v>130</c:v>
                </c:pt>
                <c:pt idx="63">
                  <c:v>145</c:v>
                </c:pt>
                <c:pt idx="64">
                  <c:v>180</c:v>
                </c:pt>
                <c:pt idx="65">
                  <c:v>115</c:v>
                </c:pt>
                <c:pt idx="66">
                  <c:v>133</c:v>
                </c:pt>
                <c:pt idx="67">
                  <c:v>155</c:v>
                </c:pt>
                <c:pt idx="68">
                  <c:v>125</c:v>
                </c:pt>
                <c:pt idx="69">
                  <c:v>102</c:v>
                </c:pt>
                <c:pt idx="70">
                  <c:v>138</c:v>
                </c:pt>
                <c:pt idx="71">
                  <c:v>180</c:v>
                </c:pt>
                <c:pt idx="72">
                  <c:v>116</c:v>
                </c:pt>
                <c:pt idx="73">
                  <c:v>150</c:v>
                </c:pt>
                <c:pt idx="74">
                  <c:v>136</c:v>
                </c:pt>
                <c:pt idx="75">
                  <c:v>130</c:v>
                </c:pt>
                <c:pt idx="76">
                  <c:v>118</c:v>
                </c:pt>
                <c:pt idx="77">
                  <c:v>150</c:v>
                </c:pt>
                <c:pt idx="78">
                  <c:v>95</c:v>
                </c:pt>
                <c:pt idx="79">
                  <c:v>150</c:v>
                </c:pt>
                <c:pt idx="80">
                  <c:v>155</c:v>
                </c:pt>
                <c:pt idx="81">
                  <c:v>135</c:v>
                </c:pt>
                <c:pt idx="82">
                  <c:v>160</c:v>
                </c:pt>
                <c:pt idx="83">
                  <c:v>140</c:v>
                </c:pt>
                <c:pt idx="84">
                  <c:v>145</c:v>
                </c:pt>
                <c:pt idx="85">
                  <c:v>125</c:v>
                </c:pt>
                <c:pt idx="86">
                  <c:v>153</c:v>
                </c:pt>
                <c:pt idx="87">
                  <c:v>150</c:v>
                </c:pt>
                <c:pt idx="88">
                  <c:v>131</c:v>
                </c:pt>
                <c:pt idx="89">
                  <c:v>140</c:v>
                </c:pt>
                <c:pt idx="90">
                  <c:v>116</c:v>
                </c:pt>
                <c:pt idx="91">
                  <c:v>121</c:v>
                </c:pt>
              </c:numCache>
            </c:numRef>
          </c:xVal>
          <c:yVal>
            <c:numRef>
              <c:f>'2Male|Wt'!$B$3:$B$94</c:f>
              <c:numCache>
                <c:formatCode>General</c:formatCode>
                <c:ptCount val="9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'2Male|Wt'!$T$10</c:f>
              <c:strCache>
                <c:ptCount val="1"/>
                <c:pt idx="0">
                  <c:v>Prob Y=1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'2Male|Wt'!$Q$11:$Q$51</c:f>
              <c:numCache>
                <c:formatCode>0</c:formatCode>
                <c:ptCount val="41"/>
                <c:pt idx="0">
                  <c:v>94</c:v>
                </c:pt>
                <c:pt idx="1">
                  <c:v>96</c:v>
                </c:pt>
                <c:pt idx="2">
                  <c:v>98</c:v>
                </c:pt>
                <c:pt idx="3">
                  <c:v>100</c:v>
                </c:pt>
                <c:pt idx="4">
                  <c:v>102</c:v>
                </c:pt>
                <c:pt idx="5">
                  <c:v>104</c:v>
                </c:pt>
                <c:pt idx="6">
                  <c:v>106</c:v>
                </c:pt>
                <c:pt idx="7">
                  <c:v>108</c:v>
                </c:pt>
                <c:pt idx="8">
                  <c:v>110</c:v>
                </c:pt>
                <c:pt idx="9">
                  <c:v>112</c:v>
                </c:pt>
                <c:pt idx="10">
                  <c:v>114</c:v>
                </c:pt>
                <c:pt idx="11">
                  <c:v>116</c:v>
                </c:pt>
                <c:pt idx="12">
                  <c:v>118</c:v>
                </c:pt>
                <c:pt idx="13">
                  <c:v>120</c:v>
                </c:pt>
                <c:pt idx="14">
                  <c:v>122</c:v>
                </c:pt>
                <c:pt idx="15">
                  <c:v>124</c:v>
                </c:pt>
                <c:pt idx="16">
                  <c:v>126</c:v>
                </c:pt>
                <c:pt idx="17">
                  <c:v>128</c:v>
                </c:pt>
                <c:pt idx="18">
                  <c:v>130</c:v>
                </c:pt>
                <c:pt idx="19">
                  <c:v>132</c:v>
                </c:pt>
                <c:pt idx="20">
                  <c:v>134</c:v>
                </c:pt>
                <c:pt idx="21">
                  <c:v>136</c:v>
                </c:pt>
                <c:pt idx="22">
                  <c:v>138</c:v>
                </c:pt>
                <c:pt idx="23">
                  <c:v>140</c:v>
                </c:pt>
                <c:pt idx="24">
                  <c:v>142</c:v>
                </c:pt>
                <c:pt idx="25">
                  <c:v>144</c:v>
                </c:pt>
                <c:pt idx="26">
                  <c:v>146</c:v>
                </c:pt>
                <c:pt idx="27">
                  <c:v>148</c:v>
                </c:pt>
                <c:pt idx="28">
                  <c:v>150</c:v>
                </c:pt>
                <c:pt idx="29">
                  <c:v>152</c:v>
                </c:pt>
                <c:pt idx="30">
                  <c:v>154</c:v>
                </c:pt>
                <c:pt idx="31">
                  <c:v>156</c:v>
                </c:pt>
                <c:pt idx="32">
                  <c:v>158</c:v>
                </c:pt>
                <c:pt idx="33">
                  <c:v>160</c:v>
                </c:pt>
                <c:pt idx="34">
                  <c:v>162</c:v>
                </c:pt>
                <c:pt idx="35">
                  <c:v>164</c:v>
                </c:pt>
                <c:pt idx="36">
                  <c:v>166</c:v>
                </c:pt>
                <c:pt idx="37">
                  <c:v>168</c:v>
                </c:pt>
                <c:pt idx="38">
                  <c:v>170</c:v>
                </c:pt>
                <c:pt idx="39">
                  <c:v>172</c:v>
                </c:pt>
                <c:pt idx="40">
                  <c:v>174</c:v>
                </c:pt>
              </c:numCache>
            </c:numRef>
          </c:xVal>
          <c:yVal>
            <c:numRef>
              <c:f>'2Male|Wt'!$T$11:$T$51</c:f>
              <c:numCache>
                <c:formatCode>0%</c:formatCode>
                <c:ptCount val="41"/>
                <c:pt idx="0">
                  <c:v>1.2822209789156544E-3</c:v>
                </c:pt>
                <c:pt idx="1">
                  <c:v>1.756848463058535E-3</c:v>
                </c:pt>
                <c:pt idx="2">
                  <c:v>2.4067408873330201E-3</c:v>
                </c:pt>
                <c:pt idx="3">
                  <c:v>3.2962473239872268E-3</c:v>
                </c:pt>
                <c:pt idx="4">
                  <c:v>4.5130188566968096E-3</c:v>
                </c:pt>
                <c:pt idx="5">
                  <c:v>6.1761642693958551E-3</c:v>
                </c:pt>
                <c:pt idx="6">
                  <c:v>8.4470141789268188E-3</c:v>
                </c:pt>
                <c:pt idx="7">
                  <c:v>1.1543111623946762E-2</c:v>
                </c:pt>
                <c:pt idx="8">
                  <c:v>1.5755994055972229E-2</c:v>
                </c:pt>
                <c:pt idx="9">
                  <c:v>2.1473047684369858E-2</c:v>
                </c:pt>
                <c:pt idx="10">
                  <c:v>2.9202981720005343E-2</c:v>
                </c:pt>
                <c:pt idx="11">
                  <c:v>3.9602942059722861E-2</c:v>
                </c:pt>
                <c:pt idx="12">
                  <c:v>5.3502487348431382E-2</c:v>
                </c:pt>
                <c:pt idx="13">
                  <c:v>7.1915097019621857E-2</c:v>
                </c:pt>
                <c:pt idx="14">
                  <c:v>9.6021468934284038E-2</c:v>
                </c:pt>
                <c:pt idx="15">
                  <c:v>0.12710179811737154</c:v>
                </c:pt>
                <c:pt idx="16">
                  <c:v>0.16639052900040505</c:v>
                </c:pt>
                <c:pt idx="17">
                  <c:v>0.21483489305581913</c:v>
                </c:pt>
                <c:pt idx="18">
                  <c:v>0.27276857402269261</c:v>
                </c:pt>
                <c:pt idx="19">
                  <c:v>0.33956847162399084</c:v>
                </c:pt>
                <c:pt idx="20">
                  <c:v>0.41342736913169387</c:v>
                </c:pt>
                <c:pt idx="21">
                  <c:v>0.49139798518239636</c:v>
                </c:pt>
                <c:pt idx="22">
                  <c:v>0.56978934520163682</c:v>
                </c:pt>
                <c:pt idx="23">
                  <c:v>0.64483109122333993</c:v>
                </c:pt>
                <c:pt idx="24">
                  <c:v>0.7133679740569483</c:v>
                </c:pt>
                <c:pt idx="25">
                  <c:v>0.77332836447609432</c:v>
                </c:pt>
                <c:pt idx="26">
                  <c:v>0.82384302594322945</c:v>
                </c:pt>
                <c:pt idx="27">
                  <c:v>0.86506456107116803</c:v>
                </c:pt>
                <c:pt idx="28">
                  <c:v>0.89783626074536926</c:v>
                </c:pt>
                <c:pt idx="29">
                  <c:v>0.9233539165173098</c:v>
                </c:pt>
                <c:pt idx="30">
                  <c:v>0.94290329341114221</c:v>
                </c:pt>
                <c:pt idx="31">
                  <c:v>0.95769485449419023</c:v>
                </c:pt>
                <c:pt idx="32">
                  <c:v>0.96878136230253087</c:v>
                </c:pt>
                <c:pt idx="33">
                  <c:v>0.97703221110111449</c:v>
                </c:pt>
                <c:pt idx="34">
                  <c:v>0.98314037268941634</c:v>
                </c:pt>
                <c:pt idx="35">
                  <c:v>0.98764464337519398</c:v>
                </c:pt>
                <c:pt idx="36">
                  <c:v>0.9909566082520801</c:v>
                </c:pt>
                <c:pt idx="37">
                  <c:v>0.99338671578297288</c:v>
                </c:pt>
                <c:pt idx="38">
                  <c:v>0.99516699840342882</c:v>
                </c:pt>
                <c:pt idx="39">
                  <c:v>0.99646973571116193</c:v>
                </c:pt>
                <c:pt idx="40">
                  <c:v>0.99742222930072977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968576"/>
        <c:axId val="239972496"/>
      </c:scatterChart>
      <c:valAx>
        <c:axId val="239968576"/>
        <c:scaling>
          <c:orientation val="minMax"/>
          <c:max val="17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Weight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(pounds)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972496"/>
        <c:crosses val="autoZero"/>
        <c:crossBetween val="midCat"/>
      </c:valAx>
      <c:valAx>
        <c:axId val="2399724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Probability</a:t>
                </a:r>
                <a:r>
                  <a:rPr lang="en-US" sz="1100" b="1" baseline="0">
                    <a:solidFill>
                      <a:schemeClr val="tx1"/>
                    </a:solidFill>
                  </a:rPr>
                  <a:t> (Male)</a:t>
                </a:r>
                <a:endParaRPr lang="en-US" sz="11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3.1325301204819279E-2"/>
              <c:y val="0.301468088339127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968576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98425</xdr:colOff>
      <xdr:row>16</xdr:row>
      <xdr:rowOff>130174</xdr:rowOff>
    </xdr:from>
    <xdr:to>
      <xdr:col>33</xdr:col>
      <xdr:colOff>346075</xdr:colOff>
      <xdr:row>33</xdr:row>
      <xdr:rowOff>120649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95250</xdr:colOff>
      <xdr:row>0</xdr:row>
      <xdr:rowOff>0</xdr:rowOff>
    </xdr:from>
    <xdr:to>
      <xdr:col>33</xdr:col>
      <xdr:colOff>342900</xdr:colOff>
      <xdr:row>16</xdr:row>
      <xdr:rowOff>66675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76200</xdr:colOff>
      <xdr:row>51</xdr:row>
      <xdr:rowOff>123825</xdr:rowOff>
    </xdr:from>
    <xdr:to>
      <xdr:col>33</xdr:col>
      <xdr:colOff>371475</xdr:colOff>
      <xdr:row>68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90487</xdr:colOff>
      <xdr:row>51</xdr:row>
      <xdr:rowOff>102393</xdr:rowOff>
    </xdr:from>
    <xdr:to>
      <xdr:col>43</xdr:col>
      <xdr:colOff>0</xdr:colOff>
      <xdr:row>68</xdr:row>
      <xdr:rowOff>92868</xdr:rowOff>
    </xdr:to>
    <xdr:graphicFrame macro="">
      <xdr:nvGraphicFramePr>
        <xdr:cNvPr id="5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57150</xdr:colOff>
      <xdr:row>16</xdr:row>
      <xdr:rowOff>85725</xdr:rowOff>
    </xdr:from>
    <xdr:to>
      <xdr:col>43</xdr:col>
      <xdr:colOff>0</xdr:colOff>
      <xdr:row>33</xdr:row>
      <xdr:rowOff>76200</xdr:rowOff>
    </xdr:to>
    <xdr:graphicFrame macro="">
      <xdr:nvGraphicFramePr>
        <xdr:cNvPr id="7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133349</xdr:colOff>
      <xdr:row>33</xdr:row>
      <xdr:rowOff>104775</xdr:rowOff>
    </xdr:from>
    <xdr:to>
      <xdr:col>33</xdr:col>
      <xdr:colOff>380999</xdr:colOff>
      <xdr:row>50</xdr:row>
      <xdr:rowOff>95250</xdr:rowOff>
    </xdr:to>
    <xdr:graphicFrame macro="">
      <xdr:nvGraphicFramePr>
        <xdr:cNvPr id="8" name="Chart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57150</xdr:colOff>
      <xdr:row>0</xdr:row>
      <xdr:rowOff>0</xdr:rowOff>
    </xdr:from>
    <xdr:to>
      <xdr:col>43</xdr:col>
      <xdr:colOff>0</xdr:colOff>
      <xdr:row>16</xdr:row>
      <xdr:rowOff>66675</xdr:rowOff>
    </xdr:to>
    <xdr:graphicFrame macro="">
      <xdr:nvGraphicFramePr>
        <xdr:cNvPr id="9" name="Chart 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114300</xdr:colOff>
      <xdr:row>33</xdr:row>
      <xdr:rowOff>133350</xdr:rowOff>
    </xdr:from>
    <xdr:to>
      <xdr:col>43</xdr:col>
      <xdr:colOff>209550</xdr:colOff>
      <xdr:row>50</xdr:row>
      <xdr:rowOff>123825</xdr:rowOff>
    </xdr:to>
    <xdr:graphicFrame macro="">
      <xdr:nvGraphicFramePr>
        <xdr:cNvPr id="10" name="Chart 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98425</xdr:colOff>
      <xdr:row>16</xdr:row>
      <xdr:rowOff>130174</xdr:rowOff>
    </xdr:from>
    <xdr:to>
      <xdr:col>33</xdr:col>
      <xdr:colOff>346075</xdr:colOff>
      <xdr:row>33</xdr:row>
      <xdr:rowOff>120649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95250</xdr:colOff>
      <xdr:row>0</xdr:row>
      <xdr:rowOff>0</xdr:rowOff>
    </xdr:from>
    <xdr:to>
      <xdr:col>33</xdr:col>
      <xdr:colOff>342900</xdr:colOff>
      <xdr:row>16</xdr:row>
      <xdr:rowOff>66675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76200</xdr:colOff>
      <xdr:row>51</xdr:row>
      <xdr:rowOff>123825</xdr:rowOff>
    </xdr:from>
    <xdr:to>
      <xdr:col>33</xdr:col>
      <xdr:colOff>371475</xdr:colOff>
      <xdr:row>68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90487</xdr:colOff>
      <xdr:row>51</xdr:row>
      <xdr:rowOff>102393</xdr:rowOff>
    </xdr:from>
    <xdr:to>
      <xdr:col>43</xdr:col>
      <xdr:colOff>0</xdr:colOff>
      <xdr:row>68</xdr:row>
      <xdr:rowOff>92868</xdr:rowOff>
    </xdr:to>
    <xdr:graphicFrame macro="">
      <xdr:nvGraphicFramePr>
        <xdr:cNvPr id="5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57150</xdr:colOff>
      <xdr:row>16</xdr:row>
      <xdr:rowOff>85725</xdr:rowOff>
    </xdr:from>
    <xdr:to>
      <xdr:col>43</xdr:col>
      <xdr:colOff>0</xdr:colOff>
      <xdr:row>33</xdr:row>
      <xdr:rowOff>76200</xdr:rowOff>
    </xdr:to>
    <xdr:graphicFrame macro="">
      <xdr:nvGraphicFramePr>
        <xdr:cNvPr id="9" name="Chart 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133349</xdr:colOff>
      <xdr:row>33</xdr:row>
      <xdr:rowOff>104775</xdr:rowOff>
    </xdr:from>
    <xdr:to>
      <xdr:col>33</xdr:col>
      <xdr:colOff>380999</xdr:colOff>
      <xdr:row>50</xdr:row>
      <xdr:rowOff>95250</xdr:rowOff>
    </xdr:to>
    <xdr:graphicFrame macro="">
      <xdr:nvGraphicFramePr>
        <xdr:cNvPr id="10" name="Chart 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57150</xdr:colOff>
      <xdr:row>0</xdr:row>
      <xdr:rowOff>0</xdr:rowOff>
    </xdr:from>
    <xdr:to>
      <xdr:col>43</xdr:col>
      <xdr:colOff>0</xdr:colOff>
      <xdr:row>16</xdr:row>
      <xdr:rowOff>66675</xdr:rowOff>
    </xdr:to>
    <xdr:graphicFrame macro="">
      <xdr:nvGraphicFramePr>
        <xdr:cNvPr id="11" name="Chart 1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85725</xdr:colOff>
      <xdr:row>33</xdr:row>
      <xdr:rowOff>104775</xdr:rowOff>
    </xdr:from>
    <xdr:to>
      <xdr:col>43</xdr:col>
      <xdr:colOff>180975</xdr:colOff>
      <xdr:row>50</xdr:row>
      <xdr:rowOff>95250</xdr:rowOff>
    </xdr:to>
    <xdr:graphicFrame macro="">
      <xdr:nvGraphicFramePr>
        <xdr:cNvPr id="12" name="Chart 1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0.00964</cdr:x>
      <cdr:y>0.01816</cdr:y>
    </cdr:from>
    <cdr:to>
      <cdr:x>0.18675</cdr:x>
      <cdr:y>0.12232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512" y="49817"/>
          <a:ext cx="891288" cy="285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0.72512</cdr:x>
      <cdr:y>0</cdr:y>
    </cdr:from>
    <cdr:to>
      <cdr:x>1</cdr:x>
      <cdr:y>0.15394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978275" y="0"/>
          <a:ext cx="1508125" cy="422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MLE Logistic and</a:t>
          </a:r>
        </a:p>
        <a:p xmlns:a="http://schemas.openxmlformats.org/drawingml/2006/main">
          <a:r>
            <a:rPr lang="en-US" sz="1100"/>
            <a:t>OLS Gender on Weight</a:t>
          </a:r>
        </a:p>
      </cdr:txBody>
    </cdr:sp>
  </cdr:relSizeAnchor>
  <cdr:relSizeAnchor xmlns:cdr="http://schemas.openxmlformats.org/drawingml/2006/chartDrawing">
    <cdr:from>
      <cdr:x>0</cdr:x>
      <cdr:y>0.89583</cdr:y>
    </cdr:from>
    <cdr:to>
      <cdr:x>0.14104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2505793"/>
          <a:ext cx="743351" cy="291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0.86246</cdr:x>
      <cdr:y>0.89583</cdr:y>
    </cdr:from>
    <cdr:to>
      <cdr:x>1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340226" y="2457441"/>
          <a:ext cx="692149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0.61274</cdr:x>
      <cdr:y>0.46084</cdr:y>
    </cdr:from>
    <cdr:to>
      <cdr:x>0.98549</cdr:x>
      <cdr:y>0.72077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083554" y="1264176"/>
          <a:ext cx="1875796" cy="713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0.5 = 0.0146*Xc - 1.4956</a:t>
          </a:r>
        </a:p>
        <a:p xmlns:a="http://schemas.openxmlformats.org/drawingml/2006/main">
          <a:r>
            <a:rPr lang="en-US" sz="1100"/>
            <a:t>Xc = (0.5 +</a:t>
          </a:r>
          <a:r>
            <a:rPr lang="en-US" sz="1100" baseline="0"/>
            <a:t> 1.4956)/ 0.0146</a:t>
          </a:r>
          <a:br>
            <a:rPr lang="en-US" sz="1100" baseline="0"/>
          </a:br>
          <a:r>
            <a:rPr lang="en-US" sz="1100" baseline="0"/>
            <a:t>Xc = 136.7</a:t>
          </a:r>
        </a:p>
        <a:p xmlns:a="http://schemas.openxmlformats.org/drawingml/2006/main">
          <a:r>
            <a:rPr lang="en-US" sz="1100" baseline="0"/>
            <a:t>OLS Slope = 0.0146 </a:t>
          </a:r>
          <a:endParaRPr lang="en-US" sz="1100"/>
        </a:p>
      </cdr:txBody>
    </cdr:sp>
  </cdr:relSizeAnchor>
  <cdr:relSizeAnchor xmlns:cdr="http://schemas.openxmlformats.org/drawingml/2006/chartDrawing">
    <cdr:from>
      <cdr:x>0.17593</cdr:x>
      <cdr:y>0.25116</cdr:y>
    </cdr:from>
    <cdr:to>
      <cdr:x>0.54868</cdr:x>
      <cdr:y>0.48727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965222" y="688982"/>
          <a:ext cx="2045056" cy="647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MLE logistic regression</a:t>
          </a:r>
          <a:endParaRPr lang="en-US">
            <a:effectLst/>
          </a:endParaRPr>
        </a:p>
        <a:p xmlns:a="http://schemas.openxmlformats.org/drawingml/2006/main">
          <a:r>
            <a:rPr lang="en-US" sz="1100"/>
            <a:t>P(Male) = 0.5</a:t>
          </a:r>
          <a:r>
            <a:rPr lang="en-US" sz="1100" baseline="0"/>
            <a:t> when X = 136.22#</a:t>
          </a:r>
          <a:br>
            <a:rPr lang="en-US" sz="1100" baseline="0"/>
          </a:br>
          <a:r>
            <a:rPr lang="en-US" sz="1100" baseline="0"/>
            <a:t>Slope (X=136.22) = 0.0394 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0.72396</cdr:x>
      <cdr:y>0</cdr:y>
    </cdr:from>
    <cdr:to>
      <cdr:x>1</cdr:x>
      <cdr:y>0.10417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71925" y="0"/>
          <a:ext cx="1514475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MLE Logistic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0.00964</cdr:x>
      <cdr:y>0.01852</cdr:y>
    </cdr:from>
    <cdr:to>
      <cdr:x>0.16456</cdr:x>
      <cdr:y>0.12268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0799" y="50800"/>
          <a:ext cx="815975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0.83517</cdr:x>
      <cdr:y>0.18356</cdr:y>
    </cdr:from>
    <cdr:to>
      <cdr:x>0.99009</cdr:x>
      <cdr:y>0.26525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613908" y="503554"/>
          <a:ext cx="855856" cy="224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Male</a:t>
          </a:r>
        </a:p>
      </cdr:txBody>
    </cdr:sp>
  </cdr:relSizeAnchor>
  <cdr:relSizeAnchor xmlns:cdr="http://schemas.openxmlformats.org/drawingml/2006/chartDrawing">
    <cdr:from>
      <cdr:x>0.22122</cdr:x>
      <cdr:y>0.64992</cdr:y>
    </cdr:from>
    <cdr:to>
      <cdr:x>0.37614</cdr:x>
      <cdr:y>0.7316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222115" y="1782848"/>
          <a:ext cx="855855" cy="224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Female</a:t>
          </a:r>
        </a:p>
      </cdr:txBody>
    </cdr:sp>
  </cdr:relSizeAnchor>
  <cdr:relSizeAnchor xmlns:cdr="http://schemas.openxmlformats.org/drawingml/2006/chartDrawing">
    <cdr:from>
      <cdr:x>0.61379</cdr:x>
      <cdr:y>0.30671</cdr:y>
    </cdr:from>
    <cdr:to>
      <cdr:x>0.96552</cdr:x>
      <cdr:y>0.71181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390883" y="841367"/>
          <a:ext cx="1943132" cy="1111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P(X)</a:t>
          </a:r>
          <a:r>
            <a:rPr lang="en-US" sz="1100" baseline="0"/>
            <a:t> = 1 / {1 + Exp[-(a + bX)] where a = -21.48 and </a:t>
          </a:r>
          <a:br>
            <a:rPr lang="en-US" sz="1100" baseline="0"/>
          </a:br>
          <a:r>
            <a:rPr lang="en-US" sz="1100" baseline="0"/>
            <a:t>b = 0.1577. </a:t>
          </a:r>
        </a:p>
        <a:p xmlns:a="http://schemas.openxmlformats.org/drawingml/2006/main">
          <a:pPr algn="ctr"/>
          <a:r>
            <a:rPr lang="en-US" sz="1100" baseline="0"/>
            <a:t>Xo = -a/b = 136.218</a:t>
          </a:r>
        </a:p>
        <a:p xmlns:a="http://schemas.openxmlformats.org/drawingml/2006/main">
          <a:pPr algn="ctr"/>
          <a:r>
            <a:rPr lang="en-US" sz="1100" baseline="0"/>
            <a:t>S = Slope(X=Xo) = b/4.</a:t>
          </a:r>
          <a:br>
            <a:rPr lang="en-US" sz="1100" baseline="0"/>
          </a:br>
          <a:r>
            <a:rPr lang="en-US" sz="1100" baseline="0"/>
            <a:t>So Slope(X=Xo) = .03942 </a:t>
          </a:r>
          <a:endParaRPr lang="en-US" sz="1100"/>
        </a:p>
      </cdr:txBody>
    </cdr:sp>
  </cdr:relSizeAnchor>
  <cdr:relSizeAnchor xmlns:cdr="http://schemas.openxmlformats.org/drawingml/2006/chartDrawing">
    <cdr:from>
      <cdr:x>0.18678</cdr:x>
      <cdr:y>0.23032</cdr:y>
    </cdr:from>
    <cdr:to>
      <cdr:x>0.48448</cdr:x>
      <cdr:y>0.37847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031875" y="631825"/>
          <a:ext cx="16446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Logistic regression based on exact MLE solution 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0.71945</cdr:x>
      <cdr:y>0</cdr:y>
    </cdr:from>
    <cdr:to>
      <cdr:x>1</cdr:x>
      <cdr:y>0.15664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81450" y="0"/>
          <a:ext cx="1552575" cy="4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OLS Gender by Weight</a:t>
          </a:r>
          <a:br>
            <a:rPr lang="en-US" sz="1100"/>
          </a:br>
          <a:r>
            <a:rPr lang="en-US" sz="1100"/>
            <a:t>OLS Weight by Gender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0.36954</cdr:x>
      <cdr:y>0.67482</cdr:y>
    </cdr:from>
    <cdr:to>
      <cdr:x>0.52446</cdr:x>
      <cdr:y>0.75651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045051" y="1851166"/>
          <a:ext cx="857331" cy="224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0.70891</cdr:x>
      <cdr:y>0.18991</cdr:y>
    </cdr:from>
    <cdr:to>
      <cdr:x>0.86383</cdr:x>
      <cdr:y>0.27159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923104" y="520967"/>
          <a:ext cx="857331" cy="224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0.69957</cdr:x>
      <cdr:y>0.28509</cdr:y>
    </cdr:from>
    <cdr:to>
      <cdr:x>0.94586</cdr:x>
      <cdr:y>0.43802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3871425" y="782059"/>
          <a:ext cx="1362976" cy="419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Weight of Men 158.26#</a:t>
          </a:r>
        </a:p>
      </cdr:txBody>
    </cdr:sp>
  </cdr:relSizeAnchor>
  <cdr:relSizeAnchor xmlns:cdr="http://schemas.openxmlformats.org/drawingml/2006/chartDrawing">
    <cdr:from>
      <cdr:x>0.58553</cdr:x>
      <cdr:y>0.20619</cdr:y>
    </cdr:from>
    <cdr:to>
      <cdr:x>0.70887</cdr:x>
      <cdr:y>0.32547</cdr:y>
    </cdr:to>
    <cdr:cxnSp macro="">
      <cdr:nvCxnSpPr>
        <cdr:cNvPr id="25" name="Straight Arrow Connector 24"/>
        <cdr:cNvCxnSpPr/>
      </cdr:nvCxnSpPr>
      <cdr:spPr>
        <a:xfrm xmlns:a="http://schemas.openxmlformats.org/drawingml/2006/main" flipH="1" flipV="1">
          <a:off x="3390900" y="571500"/>
          <a:ext cx="714282" cy="33063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0.21727</cdr:x>
      <cdr:y>0.39465</cdr:y>
    </cdr:from>
    <cdr:to>
      <cdr:x>0.4102</cdr:x>
      <cdr:y>0.54758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1202362" y="1082601"/>
          <a:ext cx="1067680" cy="419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Weight of Women 123.8#</a:t>
          </a:r>
        </a:p>
      </cdr:txBody>
    </cdr:sp>
  </cdr:relSizeAnchor>
  <cdr:relSizeAnchor xmlns:cdr="http://schemas.openxmlformats.org/drawingml/2006/chartDrawing">
    <cdr:from>
      <cdr:x>0.34478</cdr:x>
      <cdr:y>0.53165</cdr:y>
    </cdr:from>
    <cdr:to>
      <cdr:x>0.34584</cdr:x>
      <cdr:y>0.7413</cdr:y>
    </cdr:to>
    <cdr:cxnSp macro="">
      <cdr:nvCxnSpPr>
        <cdr:cNvPr id="30" name="Straight Arrow Connector 29"/>
        <cdr:cNvCxnSpPr/>
      </cdr:nvCxnSpPr>
      <cdr:spPr>
        <a:xfrm xmlns:a="http://schemas.openxmlformats.org/drawingml/2006/main">
          <a:off x="1907999" y="1458422"/>
          <a:ext cx="5866" cy="57511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0.48232</cdr:x>
      <cdr:y>0.3918</cdr:y>
    </cdr:from>
    <cdr:to>
      <cdr:x>0.50258</cdr:x>
      <cdr:y>0.42014</cdr:y>
    </cdr:to>
    <cdr:sp macro="" textlink="">
      <cdr:nvSpPr>
        <cdr:cNvPr id="35" name="Oval 34"/>
        <cdr:cNvSpPr/>
      </cdr:nvSpPr>
      <cdr:spPr>
        <a:xfrm xmlns:a="http://schemas.openxmlformats.org/drawingml/2006/main">
          <a:off x="2669149" y="1074786"/>
          <a:ext cx="112151" cy="77739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0.5152</cdr:x>
      <cdr:y>0.45255</cdr:y>
    </cdr:from>
    <cdr:to>
      <cdr:x>0.8455</cdr:x>
      <cdr:y>0.60551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851150" y="1241425"/>
          <a:ext cx="1827872" cy="419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Weight of All: 145.15#</a:t>
          </a:r>
          <a:br>
            <a:rPr lang="en-US" sz="1100"/>
          </a:br>
          <a:r>
            <a:rPr lang="en-US" sz="1100"/>
            <a:t>62%</a:t>
          </a:r>
          <a:r>
            <a:rPr lang="en-US" sz="1100" baseline="0"/>
            <a:t> are men</a:t>
          </a:r>
          <a:endParaRPr lang="en-US" sz="1100"/>
        </a:p>
      </cdr:txBody>
    </cdr:sp>
  </cdr:relSizeAnchor>
  <cdr:relSizeAnchor xmlns:cdr="http://schemas.openxmlformats.org/drawingml/2006/chartDrawing">
    <cdr:from>
      <cdr:x>0.50488</cdr:x>
      <cdr:y>0.4213</cdr:y>
    </cdr:from>
    <cdr:to>
      <cdr:x>0.61102</cdr:x>
      <cdr:y>0.46875</cdr:y>
    </cdr:to>
    <cdr:cxnSp macro="">
      <cdr:nvCxnSpPr>
        <cdr:cNvPr id="15" name="Straight Arrow Connector 14"/>
        <cdr:cNvCxnSpPr/>
      </cdr:nvCxnSpPr>
      <cdr:spPr>
        <a:xfrm xmlns:a="http://schemas.openxmlformats.org/drawingml/2006/main" flipH="1" flipV="1">
          <a:off x="2794000" y="1155700"/>
          <a:ext cx="587375" cy="1301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0.12278</cdr:x>
      <cdr:y>0.21991</cdr:y>
    </cdr:from>
    <cdr:to>
      <cdr:x>0.46127</cdr:x>
      <cdr:y>0.37284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79450" y="603250"/>
          <a:ext cx="1873250" cy="419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Solid: OLS Weight on Gender</a:t>
          </a:r>
        </a:p>
        <a:p xmlns:a="http://schemas.openxmlformats.org/drawingml/2006/main">
          <a:r>
            <a:rPr lang="en-US" sz="1100"/>
            <a:t>Dash: OLS Gender</a:t>
          </a:r>
          <a:r>
            <a:rPr lang="en-US" sz="1100" baseline="0"/>
            <a:t> on Weight</a:t>
          </a:r>
          <a:endParaRPr lang="en-US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0.00543</cdr:x>
      <cdr:y>0.92101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416" y="2526507"/>
          <a:ext cx="764062" cy="216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0.88427</cdr:x>
      <cdr:y>0.91753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0394" y="2516982"/>
          <a:ext cx="626949" cy="226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0.41814</cdr:x>
      <cdr:y>0.66787</cdr:y>
    </cdr:from>
    <cdr:to>
      <cdr:x>0.57306</cdr:x>
      <cdr:y>0.74956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201479" y="1832113"/>
          <a:ext cx="815645" cy="224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0.53533</cdr:x>
      <cdr:y>0.17603</cdr:y>
    </cdr:from>
    <cdr:to>
      <cdr:x>0.69025</cdr:x>
      <cdr:y>0.25771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2900081" y="482879"/>
          <a:ext cx="839255" cy="224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0.64789</cdr:x>
      <cdr:y>0.32792</cdr:y>
    </cdr:from>
    <cdr:to>
      <cdr:x>0.83468</cdr:x>
      <cdr:y>0.49914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3434232" y="908933"/>
          <a:ext cx="990132" cy="474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Estimate: </a:t>
          </a:r>
        </a:p>
        <a:p xmlns:a="http://schemas.openxmlformats.org/drawingml/2006/main">
          <a:r>
            <a:rPr lang="en-US" sz="1100"/>
            <a:t>Dashed line</a:t>
          </a:r>
        </a:p>
      </cdr:txBody>
    </cdr:sp>
  </cdr:relSizeAnchor>
  <cdr:relSizeAnchor xmlns:cdr="http://schemas.openxmlformats.org/drawingml/2006/chartDrawing">
    <cdr:from>
      <cdr:x>0.50297</cdr:x>
      <cdr:y>0.4543</cdr:y>
    </cdr:from>
    <cdr:to>
      <cdr:x>0.52208</cdr:x>
      <cdr:y>0.48891</cdr:y>
    </cdr:to>
    <cdr:sp macro="" textlink="">
      <cdr:nvSpPr>
        <cdr:cNvPr id="35" name="Oval 34"/>
        <cdr:cNvSpPr/>
      </cdr:nvSpPr>
      <cdr:spPr>
        <a:xfrm xmlns:a="http://schemas.openxmlformats.org/drawingml/2006/main">
          <a:off x="2654673" y="1250576"/>
          <a:ext cx="100853" cy="9525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0.40267</cdr:x>
      <cdr:y>0.2513</cdr:y>
    </cdr:from>
    <cdr:to>
      <cdr:x>0.60341</cdr:x>
      <cdr:y>0.3471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134404" y="696550"/>
          <a:ext cx="1064055" cy="265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MLE: Solid line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0.70943</cdr:x>
      <cdr:y>0</cdr:y>
    </cdr:from>
    <cdr:to>
      <cdr:x>1</cdr:x>
      <cdr:y>0.15664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24300" y="0"/>
          <a:ext cx="1607343" cy="4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MLE Logistic and  </a:t>
          </a:r>
          <a:br>
            <a:rPr lang="en-US" sz="1100"/>
          </a:br>
          <a:r>
            <a:rPr lang="en-US" sz="1100"/>
            <a:t>OLS Gender on Weight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0.41814</cdr:x>
      <cdr:y>0.66787</cdr:y>
    </cdr:from>
    <cdr:to>
      <cdr:x>0.57306</cdr:x>
      <cdr:y>0.74956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201479" y="1832113"/>
          <a:ext cx="815645" cy="224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0.58808</cdr:x>
      <cdr:y>0.1795</cdr:y>
    </cdr:from>
    <cdr:to>
      <cdr:x>0.743</cdr:x>
      <cdr:y>0.26118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096232" y="492395"/>
          <a:ext cx="815645" cy="224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0.55536</cdr:x>
      <cdr:y>0.40863</cdr:y>
    </cdr:from>
    <cdr:to>
      <cdr:x>0.98217</cdr:x>
      <cdr:y>0.66856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2962275" y="1120954"/>
          <a:ext cx="2276620" cy="713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1</a:t>
          </a:r>
          <a:r>
            <a:rPr lang="en-US" sz="1100" b="1" baseline="0">
              <a:solidFill>
                <a:schemeClr val="tx1"/>
              </a:solidFill>
            </a:rPr>
            <a:t> = 0.0146*X - 1.4956.    X = 171.26</a:t>
          </a:r>
          <a:endParaRPr lang="en-US" sz="1100" b="1">
            <a:solidFill>
              <a:schemeClr val="tx1"/>
            </a:solidFill>
          </a:endParaRPr>
        </a:p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0.5 = .0146*X - 1.4956.  X = 136</a:t>
          </a:r>
          <a:r>
            <a:rPr lang="en-US" sz="1100" b="1" baseline="0">
              <a:solidFill>
                <a:schemeClr val="tx1"/>
              </a:solidFill>
            </a:rPr>
            <a:t>.95</a:t>
          </a:r>
        </a:p>
        <a:p xmlns:a="http://schemas.openxmlformats.org/drawingml/2006/main">
          <a:r>
            <a:rPr lang="en-US" sz="1100" b="1" baseline="0">
              <a:solidFill>
                <a:schemeClr val="tx1"/>
              </a:solidFill>
            </a:rPr>
            <a:t>0 = 0.0146*X - 1.4956.   X = 102.64</a:t>
          </a:r>
          <a:endParaRPr lang="en-US" sz="1100" b="1">
            <a:solidFill>
              <a:schemeClr val="tx1"/>
            </a:solidFill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0.69626</cdr:x>
      <cdr:y>0</cdr:y>
    </cdr:from>
    <cdr:to>
      <cdr:x>1</cdr:x>
      <cdr:y>0.15664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71900" y="0"/>
          <a:ext cx="1645443" cy="4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MLE Logistic and OLS </a:t>
          </a:r>
          <a:br>
            <a:rPr lang="en-US" sz="1100"/>
          </a:br>
          <a:r>
            <a:rPr lang="en-US" sz="1100"/>
            <a:t>of Weight by Gender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0.41814</cdr:x>
      <cdr:y>0.66787</cdr:y>
    </cdr:from>
    <cdr:to>
      <cdr:x>0.57306</cdr:x>
      <cdr:y>0.74956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201479" y="1832113"/>
          <a:ext cx="815645" cy="224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0.58808</cdr:x>
      <cdr:y>0.1795</cdr:y>
    </cdr:from>
    <cdr:to>
      <cdr:x>0.743</cdr:x>
      <cdr:y>0.26118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096232" y="492395"/>
          <a:ext cx="815645" cy="224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0.69792</cdr:x>
      <cdr:y>0.28509</cdr:y>
    </cdr:from>
    <cdr:to>
      <cdr:x>0.99479</cdr:x>
      <cdr:y>0.37063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3829051" y="776628"/>
          <a:ext cx="1628775" cy="233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Weight Men:</a:t>
          </a:r>
          <a:r>
            <a:rPr lang="en-US" sz="1100" baseline="0"/>
            <a:t> </a:t>
          </a:r>
          <a:r>
            <a:rPr lang="en-US" sz="1100"/>
            <a:t>158.26</a:t>
          </a:r>
        </a:p>
      </cdr:txBody>
    </cdr:sp>
  </cdr:relSizeAnchor>
  <cdr:relSizeAnchor xmlns:cdr="http://schemas.openxmlformats.org/drawingml/2006/chartDrawing">
    <cdr:from>
      <cdr:x>0.77778</cdr:x>
      <cdr:y>0.22222</cdr:y>
    </cdr:from>
    <cdr:to>
      <cdr:x>0.8125</cdr:x>
      <cdr:y>0.3125</cdr:y>
    </cdr:to>
    <cdr:cxnSp macro="">
      <cdr:nvCxnSpPr>
        <cdr:cNvPr id="25" name="Straight Arrow Connector 24"/>
        <cdr:cNvCxnSpPr/>
      </cdr:nvCxnSpPr>
      <cdr:spPr>
        <a:xfrm xmlns:a="http://schemas.openxmlformats.org/drawingml/2006/main" flipH="1" flipV="1">
          <a:off x="4267201" y="609600"/>
          <a:ext cx="190500" cy="2476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0.12942</cdr:x>
      <cdr:y>0.52754</cdr:y>
    </cdr:from>
    <cdr:to>
      <cdr:x>0.3399</cdr:x>
      <cdr:y>0.68047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710032" y="1437108"/>
          <a:ext cx="1154777" cy="416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Weight of Women 123.80#</a:t>
          </a:r>
        </a:p>
      </cdr:txBody>
    </cdr:sp>
  </cdr:relSizeAnchor>
  <cdr:relSizeAnchor xmlns:cdr="http://schemas.openxmlformats.org/drawingml/2006/chartDrawing">
    <cdr:from>
      <cdr:x>0.26215</cdr:x>
      <cdr:y>0.68182</cdr:y>
    </cdr:from>
    <cdr:to>
      <cdr:x>0.31589</cdr:x>
      <cdr:y>0.7413</cdr:y>
    </cdr:to>
    <cdr:cxnSp macro="">
      <cdr:nvCxnSpPr>
        <cdr:cNvPr id="30" name="Straight Arrow Connector 29"/>
        <cdr:cNvCxnSpPr/>
      </cdr:nvCxnSpPr>
      <cdr:spPr>
        <a:xfrm xmlns:a="http://schemas.openxmlformats.org/drawingml/2006/main">
          <a:off x="1438276" y="1857375"/>
          <a:ext cx="294824" cy="16203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0.69931</cdr:x>
      <cdr:y>0.36846</cdr:y>
    </cdr:from>
    <cdr:to>
      <cdr:x>0.9809</cdr:x>
      <cdr:y>0.52703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836685" y="1003736"/>
          <a:ext cx="1544916" cy="431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Wt of All:</a:t>
          </a:r>
          <a:r>
            <a:rPr lang="en-US" sz="1100" baseline="0"/>
            <a:t> 145.15#</a:t>
          </a:r>
        </a:p>
        <a:p xmlns:a="http://schemas.openxmlformats.org/drawingml/2006/main">
          <a:r>
            <a:rPr lang="en-US" sz="1100" baseline="0"/>
            <a:t>62% are men</a:t>
          </a:r>
          <a:endParaRPr lang="en-US" sz="1100"/>
        </a:p>
      </cdr:txBody>
    </cdr:sp>
  </cdr:relSizeAnchor>
  <cdr:relSizeAnchor xmlns:cdr="http://schemas.openxmlformats.org/drawingml/2006/chartDrawing">
    <cdr:from>
      <cdr:x>0.59954</cdr:x>
      <cdr:y>0.39352</cdr:y>
    </cdr:from>
    <cdr:to>
      <cdr:x>0.61808</cdr:x>
      <cdr:y>0.42814</cdr:y>
    </cdr:to>
    <cdr:sp macro="" textlink="">
      <cdr:nvSpPr>
        <cdr:cNvPr id="18" name="Oval 17"/>
        <cdr:cNvSpPr/>
      </cdr:nvSpPr>
      <cdr:spPr>
        <a:xfrm xmlns:a="http://schemas.openxmlformats.org/drawingml/2006/main">
          <a:off x="3289300" y="1079500"/>
          <a:ext cx="101751" cy="9496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0.62384</cdr:x>
      <cdr:y>0.42118</cdr:y>
    </cdr:from>
    <cdr:to>
      <cdr:x>0.7066</cdr:x>
      <cdr:y>0.42308</cdr:y>
    </cdr:to>
    <cdr:cxnSp macro="">
      <cdr:nvCxnSpPr>
        <cdr:cNvPr id="20" name="Straight Arrow Connector 19"/>
        <cdr:cNvCxnSpPr/>
      </cdr:nvCxnSpPr>
      <cdr:spPr>
        <a:xfrm xmlns:a="http://schemas.openxmlformats.org/drawingml/2006/main" flipH="1" flipV="1">
          <a:off x="3422639" y="1147353"/>
          <a:ext cx="454037" cy="517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0.65278</cdr:x>
      <cdr:y>0.53963</cdr:y>
    </cdr:from>
    <cdr:to>
      <cdr:x>0.95578</cdr:x>
      <cdr:y>0.77622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3581401" y="1470024"/>
          <a:ext cx="1662390" cy="644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OLS</a:t>
          </a:r>
          <a:r>
            <a:rPr lang="en-US" sz="1100" baseline="0"/>
            <a:t> Weight|Gender</a:t>
          </a:r>
          <a:br>
            <a:rPr lang="en-US" sz="1100" baseline="0"/>
          </a:br>
          <a:r>
            <a:rPr lang="en-US" sz="1100" baseline="0"/>
            <a:t>Means difference: 34.46</a:t>
          </a:r>
          <a:br>
            <a:rPr lang="en-US" sz="1100" baseline="0"/>
          </a:br>
          <a:r>
            <a:rPr lang="en-US" sz="1100" baseline="0"/>
            <a:t>Slope = 1/34.46 = 0.0290</a:t>
          </a:r>
          <a:endParaRPr lang="en-US" sz="1100"/>
        </a:p>
      </cdr:txBody>
    </cdr:sp>
  </cdr:relSizeAnchor>
  <cdr:relSizeAnchor xmlns:cdr="http://schemas.openxmlformats.org/drawingml/2006/chartDrawing">
    <cdr:from>
      <cdr:x>0.12905</cdr:x>
      <cdr:y>0.23193</cdr:y>
    </cdr:from>
    <cdr:to>
      <cdr:x>0.5018</cdr:x>
      <cdr:y>0.46969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708025" y="631825"/>
          <a:ext cx="2045056" cy="647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MLE logistic regression</a:t>
          </a:r>
          <a:endParaRPr lang="en-US">
            <a:effectLst/>
          </a:endParaRPr>
        </a:p>
        <a:p xmlns:a="http://schemas.openxmlformats.org/drawingml/2006/main">
          <a:r>
            <a:rPr lang="en-US" sz="1100"/>
            <a:t>P(Male) = 0.5</a:t>
          </a:r>
          <a:r>
            <a:rPr lang="en-US" sz="1100" baseline="0"/>
            <a:t> when X = 136.22#</a:t>
          </a:r>
          <a:br>
            <a:rPr lang="en-US" sz="1100" baseline="0"/>
          </a:br>
          <a:r>
            <a:rPr lang="en-US" sz="1100" baseline="0"/>
            <a:t>Slope (X=136.22) = 0.0394 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0.70357</cdr:x>
      <cdr:y>0</cdr:y>
    </cdr:from>
    <cdr:to>
      <cdr:x>1</cdr:x>
      <cdr:y>0.15664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52850" y="0"/>
          <a:ext cx="1581150" cy="4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MLE Logistic 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0.38075</cdr:x>
      <cdr:y>0.67014</cdr:y>
    </cdr:from>
    <cdr:to>
      <cdr:x>0.53567</cdr:x>
      <cdr:y>0.75183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004633" y="1872379"/>
          <a:ext cx="815645" cy="228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0.59532</cdr:x>
      <cdr:y>0.1795</cdr:y>
    </cdr:from>
    <cdr:to>
      <cdr:x>0.75024</cdr:x>
      <cdr:y>0.26118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134308" y="501523"/>
          <a:ext cx="815645" cy="22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0.14185</cdr:x>
      <cdr:y>0.24683</cdr:y>
    </cdr:from>
    <cdr:to>
      <cdr:x>0.4625</cdr:x>
      <cdr:y>0.39498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56627" y="679455"/>
          <a:ext cx="1710347" cy="407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MLE Logistic regression</a:t>
          </a:r>
        </a:p>
      </cdr:txBody>
    </cdr:sp>
  </cdr:relSizeAnchor>
  <cdr:relSizeAnchor xmlns:cdr="http://schemas.openxmlformats.org/drawingml/2006/chartDrawing">
    <cdr:from>
      <cdr:x>0.5881</cdr:x>
      <cdr:y>0.29873</cdr:y>
    </cdr:from>
    <cdr:to>
      <cdr:x>0.97143</cdr:x>
      <cdr:y>0.59516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136900" y="822325"/>
          <a:ext cx="2044700" cy="815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solidFill>
                <a:schemeClr val="tx1"/>
              </a:solidFill>
            </a:rPr>
            <a:t>P(Y|X)</a:t>
          </a:r>
          <a:r>
            <a:rPr lang="en-US" sz="1100" b="1" baseline="0">
              <a:solidFill>
                <a:schemeClr val="tx1"/>
              </a:solidFill>
            </a:rPr>
            <a:t> = 1 / {1 + Exp[-(a + bX)]}</a:t>
          </a:r>
          <a:br>
            <a:rPr lang="en-US" sz="1100" b="1" baseline="0">
              <a:solidFill>
                <a:schemeClr val="tx1"/>
              </a:solidFill>
            </a:rPr>
          </a:br>
          <a:r>
            <a:rPr lang="en-US" sz="1100" b="1" baseline="0">
              <a:solidFill>
                <a:schemeClr val="tx1"/>
              </a:solidFill>
            </a:rPr>
            <a:t>a = -21.48 ; b = 0.1577. </a:t>
          </a:r>
        </a:p>
        <a:p xmlns:a="http://schemas.openxmlformats.org/drawingml/2006/main">
          <a:pPr algn="ctr"/>
          <a:r>
            <a:rPr lang="en-US" sz="1100" b="1" baseline="0">
              <a:solidFill>
                <a:schemeClr val="tx1"/>
              </a:solidFill>
            </a:rPr>
            <a:t>Xo = -a/b = 136.218</a:t>
          </a:r>
        </a:p>
        <a:p xmlns:a="http://schemas.openxmlformats.org/drawingml/2006/main">
          <a:pPr algn="ctr"/>
          <a:r>
            <a:rPr lang="en-US" sz="1100" b="1" baseline="0">
              <a:solidFill>
                <a:schemeClr val="tx1"/>
              </a:solidFill>
            </a:rPr>
            <a:t>Slope(X=Xo) = b/4 = 0.0394 </a:t>
          </a:r>
          <a:endParaRPr lang="en-US" sz="11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0.18988</cdr:x>
      <cdr:y>0.43022</cdr:y>
    </cdr:from>
    <cdr:to>
      <cdr:x>0.42857</cdr:x>
      <cdr:y>0.52249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012825" y="1184275"/>
          <a:ext cx="1273175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1">
              <a:solidFill>
                <a:schemeClr val="tx1"/>
              </a:solidFill>
            </a:rPr>
            <a:t>X = Xo if P(X) = 0.5</a:t>
          </a:r>
        </a:p>
      </cdr:txBody>
    </cdr:sp>
  </cdr:relSizeAnchor>
  <cdr:relSizeAnchor xmlns:cdr="http://schemas.openxmlformats.org/drawingml/2006/chartDrawing">
    <cdr:from>
      <cdr:x>0.4625</cdr:x>
      <cdr:y>0.47405</cdr:y>
    </cdr:from>
    <cdr:to>
      <cdr:x>0.64643</cdr:x>
      <cdr:y>0.47405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H="1">
          <a:off x="2466976" y="1304925"/>
          <a:ext cx="981074" cy="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0.69626</cdr:x>
      <cdr:y>0</cdr:y>
    </cdr:from>
    <cdr:to>
      <cdr:x>1</cdr:x>
      <cdr:y>0.15664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71900" y="0"/>
          <a:ext cx="1645443" cy="4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OLS  of Weight </a:t>
          </a:r>
        </a:p>
        <a:p xmlns:a="http://schemas.openxmlformats.org/drawingml/2006/main">
          <a:pPr algn="r"/>
          <a:r>
            <a:rPr lang="en-US" sz="1100"/>
            <a:t>by Gender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0.41814</cdr:x>
      <cdr:y>0.66787</cdr:y>
    </cdr:from>
    <cdr:to>
      <cdr:x>0.57306</cdr:x>
      <cdr:y>0.74956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201479" y="1832113"/>
          <a:ext cx="815645" cy="224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0.58808</cdr:x>
      <cdr:y>0.1795</cdr:y>
    </cdr:from>
    <cdr:to>
      <cdr:x>0.743</cdr:x>
      <cdr:y>0.26118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096232" y="492395"/>
          <a:ext cx="815645" cy="224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0.73227</cdr:x>
      <cdr:y>0.28509</cdr:y>
    </cdr:from>
    <cdr:to>
      <cdr:x>0.97856</cdr:x>
      <cdr:y>0.43802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3864909" y="784785"/>
          <a:ext cx="1299883" cy="420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Weight of Men 158.26#</a:t>
          </a:r>
        </a:p>
      </cdr:txBody>
    </cdr:sp>
  </cdr:relSizeAnchor>
  <cdr:relSizeAnchor xmlns:cdr="http://schemas.openxmlformats.org/drawingml/2006/chartDrawing">
    <cdr:from>
      <cdr:x>0.77778</cdr:x>
      <cdr:y>0.22222</cdr:y>
    </cdr:from>
    <cdr:to>
      <cdr:x>0.8125</cdr:x>
      <cdr:y>0.3125</cdr:y>
    </cdr:to>
    <cdr:cxnSp macro="">
      <cdr:nvCxnSpPr>
        <cdr:cNvPr id="25" name="Straight Arrow Connector 24"/>
        <cdr:cNvCxnSpPr/>
      </cdr:nvCxnSpPr>
      <cdr:spPr>
        <a:xfrm xmlns:a="http://schemas.openxmlformats.org/drawingml/2006/main" flipH="1" flipV="1">
          <a:off x="4267201" y="609600"/>
          <a:ext cx="190500" cy="24765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0.21275</cdr:x>
      <cdr:y>0.39118</cdr:y>
    </cdr:from>
    <cdr:to>
      <cdr:x>0.42323</cdr:x>
      <cdr:y>0.54411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1152525" y="1073076"/>
          <a:ext cx="1140231" cy="419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Weight of Women 123.80#</a:t>
          </a:r>
        </a:p>
      </cdr:txBody>
    </cdr:sp>
  </cdr:relSizeAnchor>
  <cdr:relSizeAnchor xmlns:cdr="http://schemas.openxmlformats.org/drawingml/2006/chartDrawing">
    <cdr:from>
      <cdr:x>0.31483</cdr:x>
      <cdr:y>0.53165</cdr:y>
    </cdr:from>
    <cdr:to>
      <cdr:x>0.31589</cdr:x>
      <cdr:y>0.7413</cdr:y>
    </cdr:to>
    <cdr:cxnSp macro="">
      <cdr:nvCxnSpPr>
        <cdr:cNvPr id="30" name="Straight Arrow Connector 29"/>
        <cdr:cNvCxnSpPr/>
      </cdr:nvCxnSpPr>
      <cdr:spPr>
        <a:xfrm xmlns:a="http://schemas.openxmlformats.org/drawingml/2006/main">
          <a:off x="1727277" y="1458422"/>
          <a:ext cx="5816" cy="57511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0.6316</cdr:x>
      <cdr:y>0.47685</cdr:y>
    </cdr:from>
    <cdr:to>
      <cdr:x>0.91319</cdr:x>
      <cdr:y>0.63542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465187" y="1308100"/>
          <a:ext cx="1544964" cy="434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Wt of All:</a:t>
          </a:r>
          <a:r>
            <a:rPr lang="en-US" sz="1100" baseline="0"/>
            <a:t> 145.15#</a:t>
          </a:r>
        </a:p>
        <a:p xmlns:a="http://schemas.openxmlformats.org/drawingml/2006/main">
          <a:r>
            <a:rPr lang="en-US" sz="1100" baseline="0"/>
            <a:t>62% are men</a:t>
          </a:r>
          <a:endParaRPr lang="en-US" sz="1100"/>
        </a:p>
      </cdr:txBody>
    </cdr:sp>
  </cdr:relSizeAnchor>
  <cdr:relSizeAnchor xmlns:cdr="http://schemas.openxmlformats.org/drawingml/2006/chartDrawing">
    <cdr:from>
      <cdr:x>0.59954</cdr:x>
      <cdr:y>0.39352</cdr:y>
    </cdr:from>
    <cdr:to>
      <cdr:x>0.61808</cdr:x>
      <cdr:y>0.42814</cdr:y>
    </cdr:to>
    <cdr:sp macro="" textlink="">
      <cdr:nvSpPr>
        <cdr:cNvPr id="18" name="Oval 17"/>
        <cdr:cNvSpPr/>
      </cdr:nvSpPr>
      <cdr:spPr>
        <a:xfrm xmlns:a="http://schemas.openxmlformats.org/drawingml/2006/main">
          <a:off x="3289300" y="1079500"/>
          <a:ext cx="101751" cy="94961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0.61516</cdr:x>
      <cdr:y>0.43866</cdr:y>
    </cdr:from>
    <cdr:to>
      <cdr:x>0.64236</cdr:x>
      <cdr:y>0.5</cdr:y>
    </cdr:to>
    <cdr:cxnSp macro="">
      <cdr:nvCxnSpPr>
        <cdr:cNvPr id="20" name="Straight Arrow Connector 19"/>
        <cdr:cNvCxnSpPr/>
      </cdr:nvCxnSpPr>
      <cdr:spPr>
        <a:xfrm xmlns:a="http://schemas.openxmlformats.org/drawingml/2006/main" flipH="1" flipV="1">
          <a:off x="3375025" y="1203325"/>
          <a:ext cx="149226" cy="1682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107950</xdr:colOff>
      <xdr:row>16</xdr:row>
      <xdr:rowOff>92074</xdr:rowOff>
    </xdr:from>
    <xdr:to>
      <xdr:col>33</xdr:col>
      <xdr:colOff>355600</xdr:colOff>
      <xdr:row>33</xdr:row>
      <xdr:rowOff>82549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95250</xdr:colOff>
      <xdr:row>0</xdr:row>
      <xdr:rowOff>0</xdr:rowOff>
    </xdr:from>
    <xdr:to>
      <xdr:col>33</xdr:col>
      <xdr:colOff>342900</xdr:colOff>
      <xdr:row>16</xdr:row>
      <xdr:rowOff>66675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85725</xdr:colOff>
      <xdr:row>51</xdr:row>
      <xdr:rowOff>76200</xdr:rowOff>
    </xdr:from>
    <xdr:to>
      <xdr:col>33</xdr:col>
      <xdr:colOff>381000</xdr:colOff>
      <xdr:row>68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90487</xdr:colOff>
      <xdr:row>51</xdr:row>
      <xdr:rowOff>102393</xdr:rowOff>
    </xdr:from>
    <xdr:to>
      <xdr:col>43</xdr:col>
      <xdr:colOff>0</xdr:colOff>
      <xdr:row>68</xdr:row>
      <xdr:rowOff>92868</xdr:rowOff>
    </xdr:to>
    <xdr:graphicFrame macro="">
      <xdr:nvGraphicFramePr>
        <xdr:cNvPr id="5" name="Chart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57150</xdr:colOff>
      <xdr:row>16</xdr:row>
      <xdr:rowOff>85725</xdr:rowOff>
    </xdr:from>
    <xdr:to>
      <xdr:col>43</xdr:col>
      <xdr:colOff>0</xdr:colOff>
      <xdr:row>33</xdr:row>
      <xdr:rowOff>76200</xdr:rowOff>
    </xdr:to>
    <xdr:graphicFrame macro="">
      <xdr:nvGraphicFramePr>
        <xdr:cNvPr id="7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104774</xdr:colOff>
      <xdr:row>33</xdr:row>
      <xdr:rowOff>142875</xdr:rowOff>
    </xdr:from>
    <xdr:to>
      <xdr:col>33</xdr:col>
      <xdr:colOff>352424</xdr:colOff>
      <xdr:row>50</xdr:row>
      <xdr:rowOff>133350</xdr:rowOff>
    </xdr:to>
    <xdr:graphicFrame macro="">
      <xdr:nvGraphicFramePr>
        <xdr:cNvPr id="8" name="Chart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57150</xdr:colOff>
      <xdr:row>0</xdr:row>
      <xdr:rowOff>0</xdr:rowOff>
    </xdr:from>
    <xdr:to>
      <xdr:col>43</xdr:col>
      <xdr:colOff>0</xdr:colOff>
      <xdr:row>16</xdr:row>
      <xdr:rowOff>66675</xdr:rowOff>
    </xdr:to>
    <xdr:graphicFrame macro="">
      <xdr:nvGraphicFramePr>
        <xdr:cNvPr id="9" name="Chart 8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104775</xdr:colOff>
      <xdr:row>33</xdr:row>
      <xdr:rowOff>123825</xdr:rowOff>
    </xdr:from>
    <xdr:to>
      <xdr:col>43</xdr:col>
      <xdr:colOff>200025</xdr:colOff>
      <xdr:row>50</xdr:row>
      <xdr:rowOff>114300</xdr:rowOff>
    </xdr:to>
    <xdr:graphicFrame macro="">
      <xdr:nvGraphicFramePr>
        <xdr:cNvPr id="10" name="Chart 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0.00964</cdr:x>
      <cdr:y>0.01816</cdr:y>
    </cdr:from>
    <cdr:to>
      <cdr:x>0.18675</cdr:x>
      <cdr:y>0.12232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512" y="49817"/>
          <a:ext cx="891288" cy="285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0.72512</cdr:x>
      <cdr:y>0</cdr:y>
    </cdr:from>
    <cdr:to>
      <cdr:x>1</cdr:x>
      <cdr:y>0.15394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978275" y="0"/>
          <a:ext cx="1508125" cy="422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MLE Logistic and</a:t>
          </a:r>
        </a:p>
        <a:p xmlns:a="http://schemas.openxmlformats.org/drawingml/2006/main">
          <a:r>
            <a:rPr lang="en-US" sz="1100"/>
            <a:t>OLS Gender on Height</a:t>
          </a:r>
        </a:p>
      </cdr:txBody>
    </cdr:sp>
  </cdr:relSizeAnchor>
  <cdr:relSizeAnchor xmlns:cdr="http://schemas.openxmlformats.org/drawingml/2006/chartDrawing">
    <cdr:from>
      <cdr:x>0</cdr:x>
      <cdr:y>0.89583</cdr:y>
    </cdr:from>
    <cdr:to>
      <cdr:x>0.14104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2505793"/>
          <a:ext cx="743351" cy="291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0.86246</cdr:x>
      <cdr:y>0.89583</cdr:y>
    </cdr:from>
    <cdr:to>
      <cdr:x>1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340226" y="2457441"/>
          <a:ext cx="692149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0.61274</cdr:x>
      <cdr:y>0.46084</cdr:y>
    </cdr:from>
    <cdr:to>
      <cdr:x>0.98549</cdr:x>
      <cdr:y>0.72077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083554" y="1264176"/>
          <a:ext cx="1875796" cy="713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0.5 = 0.0953*Xc - 5.982</a:t>
          </a:r>
        </a:p>
        <a:p xmlns:a="http://schemas.openxmlformats.org/drawingml/2006/main">
          <a:r>
            <a:rPr lang="en-US" sz="1100"/>
            <a:t>Xc = (0.5 +</a:t>
          </a:r>
          <a:r>
            <a:rPr lang="en-US" sz="1100" baseline="0"/>
            <a:t> 5.982)/ 0.0953</a:t>
          </a:r>
          <a:br>
            <a:rPr lang="en-US" sz="1100" baseline="0"/>
          </a:br>
          <a:r>
            <a:rPr lang="en-US" sz="1100" baseline="0"/>
            <a:t>Xc = 67.4626</a:t>
          </a:r>
        </a:p>
        <a:p xmlns:a="http://schemas.openxmlformats.org/drawingml/2006/main">
          <a:r>
            <a:rPr lang="en-US" sz="1100" baseline="0"/>
            <a:t>Slope = 0.0953 </a:t>
          </a:r>
          <a:endParaRPr lang="en-US" sz="1100"/>
        </a:p>
      </cdr:txBody>
    </cdr:sp>
  </cdr:relSizeAnchor>
  <cdr:relSizeAnchor xmlns:cdr="http://schemas.openxmlformats.org/drawingml/2006/chartDrawing">
    <cdr:from>
      <cdr:x>0.17593</cdr:x>
      <cdr:y>0.25116</cdr:y>
    </cdr:from>
    <cdr:to>
      <cdr:x>0.54868</cdr:x>
      <cdr:y>0.54977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965222" y="688982"/>
          <a:ext cx="2045056" cy="819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+mn-lt"/>
              <a:ea typeface="+mn-ea"/>
              <a:cs typeface="+mn-cs"/>
            </a:rPr>
            <a:t>Based on MLE logistic regression</a:t>
          </a:r>
          <a:endParaRPr lang="en-US">
            <a:effectLst/>
          </a:endParaRPr>
        </a:p>
        <a:p xmlns:a="http://schemas.openxmlformats.org/drawingml/2006/main">
          <a:r>
            <a:rPr lang="en-US" sz="1100"/>
            <a:t>P(Male) = 0.5</a:t>
          </a:r>
          <a:r>
            <a:rPr lang="en-US" sz="1100" baseline="0"/>
            <a:t> when X = 67.4529</a:t>
          </a:r>
          <a:br>
            <a:rPr lang="en-US" sz="1100" baseline="0"/>
          </a:br>
          <a:r>
            <a:rPr lang="en-US" sz="1100" baseline="0"/>
            <a:t>Slope (X = 67.45) = 0.1976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0.00964</cdr:x>
      <cdr:y>0.01816</cdr:y>
    </cdr:from>
    <cdr:to>
      <cdr:x>0.18675</cdr:x>
      <cdr:y>0.12232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512" y="49817"/>
          <a:ext cx="891288" cy="285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0.72512</cdr:x>
      <cdr:y>0</cdr:y>
    </cdr:from>
    <cdr:to>
      <cdr:x>1</cdr:x>
      <cdr:y>0.15394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978275" y="0"/>
          <a:ext cx="1508125" cy="4222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MLE Logistic and</a:t>
          </a:r>
        </a:p>
        <a:p xmlns:a="http://schemas.openxmlformats.org/drawingml/2006/main">
          <a:r>
            <a:rPr lang="en-US" sz="1100"/>
            <a:t>OLS Gender on Pulse1</a:t>
          </a:r>
        </a:p>
      </cdr:txBody>
    </cdr:sp>
  </cdr:relSizeAnchor>
  <cdr:relSizeAnchor xmlns:cdr="http://schemas.openxmlformats.org/drawingml/2006/chartDrawing">
    <cdr:from>
      <cdr:x>0</cdr:x>
      <cdr:y>0.89583</cdr:y>
    </cdr:from>
    <cdr:to>
      <cdr:x>0.14104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2505793"/>
          <a:ext cx="743351" cy="291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0.86246</cdr:x>
      <cdr:y>0.89583</cdr:y>
    </cdr:from>
    <cdr:to>
      <cdr:x>1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340226" y="2457441"/>
          <a:ext cx="692149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0.69955</cdr:x>
      <cdr:y>0.42959</cdr:y>
    </cdr:from>
    <cdr:to>
      <cdr:x>0.97859</cdr:x>
      <cdr:y>0.57407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37990" y="1178451"/>
          <a:ext cx="1530925" cy="396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P(Y) =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0.5 if X = 82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.32</a:t>
          </a:r>
          <a:endParaRPr lang="en-US" b="1">
            <a:solidFill>
              <a:schemeClr val="tx1"/>
            </a:solidFill>
            <a:effectLst/>
          </a:endParaRPr>
        </a:p>
        <a:p xmlns:a="http://schemas.openxmlformats.org/drawingml/2006/main">
          <a:r>
            <a:rPr lang="en-US" sz="1100" b="1" baseline="0">
              <a:solidFill>
                <a:schemeClr val="tx1"/>
              </a:solidFill>
            </a:rPr>
            <a:t>Slope = -0.0127 </a:t>
          </a:r>
          <a:endParaRPr lang="en-US" sz="11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0.15683</cdr:x>
      <cdr:y>0.47685</cdr:y>
    </cdr:from>
    <cdr:to>
      <cdr:x>0.58102</cdr:x>
      <cdr:y>0.68171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60432" y="1308094"/>
          <a:ext cx="2327268" cy="5619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MLE logistic regression</a:t>
          </a:r>
          <a:endParaRPr lang="en-US" b="1">
            <a:solidFill>
              <a:schemeClr val="tx1"/>
            </a:solidFill>
            <a:effectLst/>
          </a:endParaRPr>
        </a:p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P(Male) = 0.5</a:t>
          </a:r>
          <a:r>
            <a:rPr lang="en-US" sz="1100" b="1" baseline="0">
              <a:solidFill>
                <a:schemeClr val="tx1"/>
              </a:solidFill>
            </a:rPr>
            <a:t> when Xo = 82.22 bpm</a:t>
          </a:r>
          <a:br>
            <a:rPr lang="en-US" sz="1100" b="1" baseline="0">
              <a:solidFill>
                <a:schemeClr val="tx1"/>
              </a:solidFill>
            </a:rPr>
          </a:br>
          <a:r>
            <a:rPr lang="en-US" sz="1100" b="1" baseline="0">
              <a:solidFill>
                <a:schemeClr val="tx1"/>
              </a:solidFill>
            </a:rPr>
            <a:t>Slope = -0.0140</a:t>
          </a:r>
          <a:r>
            <a:rPr lang="en-US" sz="1100" baseline="0"/>
            <a:t/>
          </a:r>
          <a:br>
            <a:rPr lang="en-US" sz="1100" baseline="0"/>
          </a:br>
          <a:endParaRPr lang="en-US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0.72396</cdr:x>
      <cdr:y>0</cdr:y>
    </cdr:from>
    <cdr:to>
      <cdr:x>1</cdr:x>
      <cdr:y>0.10417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71925" y="0"/>
          <a:ext cx="1514475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MLE Logistic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0.00964</cdr:x>
      <cdr:y>0.01852</cdr:y>
    </cdr:from>
    <cdr:to>
      <cdr:x>0.16456</cdr:x>
      <cdr:y>0.12268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0799" y="50800"/>
          <a:ext cx="815975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0.36642</cdr:x>
      <cdr:y>0.16608</cdr:y>
    </cdr:from>
    <cdr:to>
      <cdr:x>0.52134</cdr:x>
      <cdr:y>0.24777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010327" y="452420"/>
          <a:ext cx="849953" cy="222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Male</a:t>
          </a:r>
        </a:p>
      </cdr:txBody>
    </cdr:sp>
  </cdr:relSizeAnchor>
  <cdr:relSizeAnchor xmlns:cdr="http://schemas.openxmlformats.org/drawingml/2006/chartDrawing">
    <cdr:from>
      <cdr:x>0.3549</cdr:x>
      <cdr:y>0.67789</cdr:y>
    </cdr:from>
    <cdr:to>
      <cdr:x>0.50982</cdr:x>
      <cdr:y>0.75957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947126" y="1846680"/>
          <a:ext cx="849953" cy="222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Female</a:t>
          </a:r>
        </a:p>
      </cdr:txBody>
    </cdr:sp>
  </cdr:relSizeAnchor>
  <cdr:relSizeAnchor xmlns:cdr="http://schemas.openxmlformats.org/drawingml/2006/chartDrawing">
    <cdr:from>
      <cdr:x>0.56944</cdr:x>
      <cdr:y>0.19133</cdr:y>
    </cdr:from>
    <cdr:to>
      <cdr:x>0.96031</cdr:x>
      <cdr:y>0.49135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124176" y="526679"/>
          <a:ext cx="2144469" cy="825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P(X)</a:t>
          </a:r>
          <a:r>
            <a:rPr lang="en-US" sz="1100" baseline="0"/>
            <a:t> = 1 / {1 + Exp[-(a + bX)]}</a:t>
          </a:r>
          <a:br>
            <a:rPr lang="en-US" sz="1100" baseline="0"/>
          </a:br>
          <a:r>
            <a:rPr lang="en-US" sz="1100" baseline="0"/>
            <a:t>a = 4.61;  b = -0.0561. </a:t>
          </a:r>
        </a:p>
        <a:p xmlns:a="http://schemas.openxmlformats.org/drawingml/2006/main">
          <a:pPr algn="ctr"/>
          <a:r>
            <a:rPr lang="en-US" sz="1100" baseline="0"/>
            <a:t>Xo = -a/b = 82.22 bpm</a:t>
          </a:r>
        </a:p>
        <a:p xmlns:a="http://schemas.openxmlformats.org/drawingml/2006/main">
          <a:pPr algn="ctr"/>
          <a:r>
            <a:rPr lang="en-US" sz="1100" baseline="0"/>
            <a:t>Slope(X=Xo) = b/4 = -0.0140</a:t>
          </a:r>
          <a:endParaRPr lang="en-US" sz="1100"/>
        </a:p>
      </cdr:txBody>
    </cdr:sp>
  </cdr:relSizeAnchor>
  <cdr:relSizeAnchor xmlns:cdr="http://schemas.openxmlformats.org/drawingml/2006/chartDrawing">
    <cdr:from>
      <cdr:x>0.17636</cdr:x>
      <cdr:y>0.37717</cdr:y>
    </cdr:from>
    <cdr:to>
      <cdr:x>0.47406</cdr:x>
      <cdr:y>0.52532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967600" y="1027476"/>
          <a:ext cx="1633301" cy="403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Logistic regression based on exact MLE solution 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0.71945</cdr:x>
      <cdr:y>0</cdr:y>
    </cdr:from>
    <cdr:to>
      <cdr:x>1</cdr:x>
      <cdr:y>0.15664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81450" y="0"/>
          <a:ext cx="1552575" cy="4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OLS Gender by Pulse1</a:t>
          </a:r>
          <a:br>
            <a:rPr lang="en-US" sz="1100"/>
          </a:br>
          <a:r>
            <a:rPr lang="en-US" sz="1100"/>
            <a:t>OLS Pulse1 by Gender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0.36954</cdr:x>
      <cdr:y>0.67482</cdr:y>
    </cdr:from>
    <cdr:to>
      <cdr:x>0.52446</cdr:x>
      <cdr:y>0.75651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045051" y="1851166"/>
          <a:ext cx="857331" cy="224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0.57122</cdr:x>
      <cdr:y>0.18991</cdr:y>
    </cdr:from>
    <cdr:to>
      <cdr:x>0.72614</cdr:x>
      <cdr:y>0.27159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161126" y="526388"/>
          <a:ext cx="857331" cy="226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0.13847</cdr:x>
      <cdr:y>0.2954</cdr:y>
    </cdr:from>
    <cdr:to>
      <cdr:x>0.38476</cdr:x>
      <cdr:y>0.44833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766288" y="818780"/>
          <a:ext cx="1362975" cy="423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Rest Pulse </a:t>
          </a:r>
          <a:br>
            <a:rPr lang="en-US" sz="1100"/>
          </a:br>
          <a:r>
            <a:rPr lang="en-US" sz="1100"/>
            <a:t>of Men 70.42</a:t>
          </a:r>
          <a:r>
            <a:rPr lang="en-US" sz="1100" baseline="0"/>
            <a:t> bpm</a:t>
          </a:r>
          <a:endParaRPr lang="en-US" sz="1100"/>
        </a:p>
      </cdr:txBody>
    </cdr:sp>
  </cdr:relSizeAnchor>
  <cdr:relSizeAnchor xmlns:cdr="http://schemas.openxmlformats.org/drawingml/2006/chartDrawing">
    <cdr:from>
      <cdr:x>0.31153</cdr:x>
      <cdr:y>0.21184</cdr:y>
    </cdr:from>
    <cdr:to>
      <cdr:x>0.42857</cdr:x>
      <cdr:y>0.35052</cdr:y>
    </cdr:to>
    <cdr:cxnSp macro="">
      <cdr:nvCxnSpPr>
        <cdr:cNvPr id="25" name="Straight Arrow Connector 24"/>
        <cdr:cNvCxnSpPr/>
      </cdr:nvCxnSpPr>
      <cdr:spPr>
        <a:xfrm xmlns:a="http://schemas.openxmlformats.org/drawingml/2006/main" flipV="1">
          <a:off x="1724025" y="587183"/>
          <a:ext cx="647679" cy="38436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0.57143</cdr:x>
      <cdr:y>0.5974</cdr:y>
    </cdr:from>
    <cdr:to>
      <cdr:x>0.81239</cdr:x>
      <cdr:y>0.75033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3162300" y="1655856"/>
          <a:ext cx="1333500" cy="423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Rest Pulse of Women: 76.86 bpm</a:t>
          </a:r>
        </a:p>
      </cdr:txBody>
    </cdr:sp>
  </cdr:relSizeAnchor>
  <cdr:relSizeAnchor xmlns:cdr="http://schemas.openxmlformats.org/drawingml/2006/chartDrawing">
    <cdr:from>
      <cdr:x>0.51107</cdr:x>
      <cdr:y>0.67354</cdr:y>
    </cdr:from>
    <cdr:to>
      <cdr:x>0.58176</cdr:x>
      <cdr:y>0.73099</cdr:y>
    </cdr:to>
    <cdr:cxnSp macro="">
      <cdr:nvCxnSpPr>
        <cdr:cNvPr id="30" name="Straight Arrow Connector 29"/>
        <cdr:cNvCxnSpPr/>
      </cdr:nvCxnSpPr>
      <cdr:spPr>
        <a:xfrm xmlns:a="http://schemas.openxmlformats.org/drawingml/2006/main" flipH="1">
          <a:off x="2828288" y="1866900"/>
          <a:ext cx="391162" cy="15924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0.45822</cdr:x>
      <cdr:y>0.3918</cdr:y>
    </cdr:from>
    <cdr:to>
      <cdr:x>0.47848</cdr:x>
      <cdr:y>0.42014</cdr:y>
    </cdr:to>
    <cdr:sp macro="" textlink="">
      <cdr:nvSpPr>
        <cdr:cNvPr id="35" name="Oval 34"/>
        <cdr:cNvSpPr/>
      </cdr:nvSpPr>
      <cdr:spPr>
        <a:xfrm xmlns:a="http://schemas.openxmlformats.org/drawingml/2006/main">
          <a:off x="2535821" y="1085981"/>
          <a:ext cx="112119" cy="78553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0.54446</cdr:x>
      <cdr:y>0.29447</cdr:y>
    </cdr:from>
    <cdr:to>
      <cdr:x>0.90878</cdr:x>
      <cdr:y>0.44743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013054" y="816217"/>
          <a:ext cx="2016145" cy="423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Rest</a:t>
          </a:r>
          <a:r>
            <a:rPr lang="en-US" sz="1100" baseline="0"/>
            <a:t> Pulse</a:t>
          </a:r>
          <a:r>
            <a:rPr lang="en-US" sz="1100"/>
            <a:t> of All: 72.87 bpm</a:t>
          </a:r>
          <a:br>
            <a:rPr lang="en-US" sz="1100"/>
          </a:br>
          <a:r>
            <a:rPr lang="en-US" sz="1100"/>
            <a:t>62%</a:t>
          </a:r>
          <a:r>
            <a:rPr lang="en-US" sz="1100" baseline="0"/>
            <a:t> are men</a:t>
          </a:r>
          <a:endParaRPr lang="en-US" sz="1100"/>
        </a:p>
      </cdr:txBody>
    </cdr:sp>
  </cdr:relSizeAnchor>
  <cdr:relSizeAnchor xmlns:cdr="http://schemas.openxmlformats.org/drawingml/2006/chartDrawing">
    <cdr:from>
      <cdr:x>0.48365</cdr:x>
      <cdr:y>0.38144</cdr:y>
    </cdr:from>
    <cdr:to>
      <cdr:x>0.5525</cdr:x>
      <cdr:y>0.39175</cdr:y>
    </cdr:to>
    <cdr:cxnSp macro="">
      <cdr:nvCxnSpPr>
        <cdr:cNvPr id="15" name="Straight Arrow Connector 14"/>
        <cdr:cNvCxnSpPr/>
      </cdr:nvCxnSpPr>
      <cdr:spPr>
        <a:xfrm xmlns:a="http://schemas.openxmlformats.org/drawingml/2006/main" flipH="1">
          <a:off x="2676525" y="1057275"/>
          <a:ext cx="381001" cy="285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0.12278</cdr:x>
      <cdr:y>0.47077</cdr:y>
    </cdr:from>
    <cdr:to>
      <cdr:x>0.46127</cdr:x>
      <cdr:y>0.6237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79468" y="1304866"/>
          <a:ext cx="1873212" cy="4238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Solid: OLS Weight on Gender</a:t>
          </a:r>
        </a:p>
        <a:p xmlns:a="http://schemas.openxmlformats.org/drawingml/2006/main">
          <a:r>
            <a:rPr lang="en-US" sz="1100"/>
            <a:t>Dash: OLS Gender</a:t>
          </a:r>
          <a:r>
            <a:rPr lang="en-US" sz="1100" baseline="0"/>
            <a:t> on Weight</a:t>
          </a:r>
          <a:endParaRPr lang="en-US" sz="11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0.00543</cdr:x>
      <cdr:y>0.92101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416" y="2526507"/>
          <a:ext cx="764062" cy="216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0.88427</cdr:x>
      <cdr:y>0.91753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0394" y="2516982"/>
          <a:ext cx="626949" cy="226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0.41814</cdr:x>
      <cdr:y>0.66787</cdr:y>
    </cdr:from>
    <cdr:to>
      <cdr:x>0.57306</cdr:x>
      <cdr:y>0.74956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201479" y="1832113"/>
          <a:ext cx="815645" cy="224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0.53533</cdr:x>
      <cdr:y>0.17603</cdr:y>
    </cdr:from>
    <cdr:to>
      <cdr:x>0.69025</cdr:x>
      <cdr:y>0.25771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2900081" y="482879"/>
          <a:ext cx="839255" cy="224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0.56163</cdr:x>
      <cdr:y>0.31418</cdr:y>
    </cdr:from>
    <cdr:to>
      <cdr:x>0.85386</cdr:x>
      <cdr:y>0.40998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2977031" y="870834"/>
          <a:ext cx="1549013" cy="265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Estimate: Dashed line</a:t>
          </a:r>
        </a:p>
      </cdr:txBody>
    </cdr:sp>
  </cdr:relSizeAnchor>
  <cdr:relSizeAnchor xmlns:cdr="http://schemas.openxmlformats.org/drawingml/2006/chartDrawing">
    <cdr:from>
      <cdr:x>0.55868</cdr:x>
      <cdr:y>0.39932</cdr:y>
    </cdr:from>
    <cdr:to>
      <cdr:x>0.57779</cdr:x>
      <cdr:y>0.43393</cdr:y>
    </cdr:to>
    <cdr:sp macro="" textlink="">
      <cdr:nvSpPr>
        <cdr:cNvPr id="35" name="Oval 34"/>
        <cdr:cNvSpPr/>
      </cdr:nvSpPr>
      <cdr:spPr>
        <a:xfrm xmlns:a="http://schemas.openxmlformats.org/drawingml/2006/main">
          <a:off x="2961349" y="1106817"/>
          <a:ext cx="101296" cy="95932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0.34696</cdr:x>
      <cdr:y>0.42312</cdr:y>
    </cdr:from>
    <cdr:to>
      <cdr:x>0.5477</cdr:x>
      <cdr:y>0.51892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839129" y="1172800"/>
          <a:ext cx="1064055" cy="265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MLE: Solid line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0.70943</cdr:x>
      <cdr:y>0</cdr:y>
    </cdr:from>
    <cdr:to>
      <cdr:x>1</cdr:x>
      <cdr:y>0.15664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24300" y="0"/>
          <a:ext cx="1607343" cy="4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MLE Logistic and  </a:t>
          </a:r>
          <a:br>
            <a:rPr lang="en-US" sz="1100"/>
          </a:br>
          <a:r>
            <a:rPr lang="en-US" sz="1100"/>
            <a:t>OLS Gender on Pulse1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0.64493</cdr:x>
      <cdr:y>0.64356</cdr:y>
    </cdr:from>
    <cdr:to>
      <cdr:x>0.79985</cdr:x>
      <cdr:y>0.72525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3440034" y="1765426"/>
          <a:ext cx="826343" cy="224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0.27379</cdr:x>
      <cdr:y>0.18297</cdr:y>
    </cdr:from>
    <cdr:to>
      <cdr:x>0.42871</cdr:x>
      <cdr:y>0.26465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1460419" y="501929"/>
          <a:ext cx="826343" cy="224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0.57319</cdr:x>
      <cdr:y>0.24891</cdr:y>
    </cdr:from>
    <cdr:to>
      <cdr:x>1</cdr:x>
      <cdr:y>0.50884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3057395" y="682804"/>
          <a:ext cx="2276605" cy="713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P(Y)</a:t>
          </a:r>
          <a:r>
            <a:rPr lang="en-US" sz="1100" b="1" baseline="0">
              <a:solidFill>
                <a:schemeClr val="tx1"/>
              </a:solidFill>
            </a:rPr>
            <a:t> = 1.0 if X = 42.81</a:t>
          </a:r>
        </a:p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P(Y) =</a:t>
          </a:r>
          <a:r>
            <a:rPr lang="en-US" sz="1100" b="1" baseline="0">
              <a:solidFill>
                <a:schemeClr val="tx1"/>
              </a:solidFill>
            </a:rPr>
            <a:t> </a:t>
          </a:r>
          <a:r>
            <a:rPr lang="en-US" sz="1100" b="1">
              <a:solidFill>
                <a:schemeClr val="tx1"/>
              </a:solidFill>
            </a:rPr>
            <a:t>0.5 if X = 82</a:t>
          </a:r>
          <a:r>
            <a:rPr lang="en-US" sz="1100" b="1" baseline="0">
              <a:solidFill>
                <a:schemeClr val="tx1"/>
              </a:solidFill>
            </a:rPr>
            <a:t>.32</a:t>
          </a:r>
        </a:p>
        <a:p xmlns:a="http://schemas.openxmlformats.org/drawingml/2006/main">
          <a:r>
            <a:rPr lang="en-US" sz="1100" b="1" baseline="0">
              <a:solidFill>
                <a:schemeClr val="tx1"/>
              </a:solidFill>
            </a:rPr>
            <a:t>P(Y) = 0.0 if X=  121.83</a:t>
          </a:r>
          <a:endParaRPr lang="en-US" sz="1100" b="1">
            <a:solidFill>
              <a:schemeClr val="tx1"/>
            </a:solidFill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0.69626</cdr:x>
      <cdr:y>0</cdr:y>
    </cdr:from>
    <cdr:to>
      <cdr:x>1</cdr:x>
      <cdr:y>0.15664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71900" y="0"/>
          <a:ext cx="1645443" cy="4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MLE Logistic and OLS </a:t>
          </a:r>
          <a:br>
            <a:rPr lang="en-US" sz="1100"/>
          </a:br>
          <a:r>
            <a:rPr lang="en-US" sz="1100"/>
            <a:t>of Rest Pulse by Gender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0.45113</cdr:x>
      <cdr:y>0.67134</cdr:y>
    </cdr:from>
    <cdr:to>
      <cdr:x>0.60605</cdr:x>
      <cdr:y>0.75303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475058" y="1841626"/>
          <a:ext cx="849953" cy="224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0.50127</cdr:x>
      <cdr:y>0.1795</cdr:y>
    </cdr:from>
    <cdr:to>
      <cdr:x>0.65619</cdr:x>
      <cdr:y>0.26118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2750192" y="492404"/>
          <a:ext cx="849953" cy="224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0.66977</cdr:x>
      <cdr:y>0.5594</cdr:y>
    </cdr:from>
    <cdr:to>
      <cdr:x>0.91606</cdr:x>
      <cdr:y>0.71233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3674626" y="1534534"/>
          <a:ext cx="1351246" cy="419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rest pulse  of Women 76.86 bpm</a:t>
          </a:r>
        </a:p>
      </cdr:txBody>
    </cdr:sp>
  </cdr:relSizeAnchor>
  <cdr:relSizeAnchor xmlns:cdr="http://schemas.openxmlformats.org/drawingml/2006/chartDrawing">
    <cdr:from>
      <cdr:x>0.47743</cdr:x>
      <cdr:y>0.19792</cdr:y>
    </cdr:from>
    <cdr:to>
      <cdr:x>0.61979</cdr:x>
      <cdr:y>0.22569</cdr:y>
    </cdr:to>
    <cdr:cxnSp macro="">
      <cdr:nvCxnSpPr>
        <cdr:cNvPr id="25" name="Straight Arrow Connector 24"/>
        <cdr:cNvCxnSpPr/>
      </cdr:nvCxnSpPr>
      <cdr:spPr>
        <a:xfrm xmlns:a="http://schemas.openxmlformats.org/drawingml/2006/main" flipH="1" flipV="1">
          <a:off x="2619393" y="542923"/>
          <a:ext cx="781033" cy="7620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0.62074</cdr:x>
      <cdr:y>0.18285</cdr:y>
    </cdr:from>
    <cdr:to>
      <cdr:x>0.9809</cdr:x>
      <cdr:y>0.26389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3405606" y="501585"/>
          <a:ext cx="1976019" cy="222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rest pulse of Men: 70.42</a:t>
          </a:r>
        </a:p>
      </cdr:txBody>
    </cdr:sp>
  </cdr:relSizeAnchor>
  <cdr:relSizeAnchor xmlns:cdr="http://schemas.openxmlformats.org/drawingml/2006/chartDrawing">
    <cdr:from>
      <cdr:x>0.57283</cdr:x>
      <cdr:y>0.65625</cdr:y>
    </cdr:from>
    <cdr:to>
      <cdr:x>0.67014</cdr:x>
      <cdr:y>0.73436</cdr:y>
    </cdr:to>
    <cdr:cxnSp macro="">
      <cdr:nvCxnSpPr>
        <cdr:cNvPr id="30" name="Straight Arrow Connector 29"/>
        <cdr:cNvCxnSpPr/>
      </cdr:nvCxnSpPr>
      <cdr:spPr>
        <a:xfrm xmlns:a="http://schemas.openxmlformats.org/drawingml/2006/main" flipH="1">
          <a:off x="3142799" y="1800225"/>
          <a:ext cx="533852" cy="21425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0.55729</cdr:x>
      <cdr:y>0.26504</cdr:y>
    </cdr:from>
    <cdr:to>
      <cdr:x>0.92187</cdr:x>
      <cdr:y>0.42708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057526" y="727070"/>
          <a:ext cx="2000225" cy="444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rest pulse of All:</a:t>
          </a:r>
          <a:r>
            <a:rPr lang="en-US" sz="1100" baseline="0"/>
            <a:t> 72.87 bpm</a:t>
          </a:r>
        </a:p>
        <a:p xmlns:a="http://schemas.openxmlformats.org/drawingml/2006/main">
          <a:r>
            <a:rPr lang="en-US" sz="1100" baseline="0"/>
            <a:t>62% are men</a:t>
          </a:r>
          <a:endParaRPr lang="en-US" sz="1100"/>
        </a:p>
      </cdr:txBody>
    </cdr:sp>
  </cdr:relSizeAnchor>
  <cdr:relSizeAnchor xmlns:cdr="http://schemas.openxmlformats.org/drawingml/2006/chartDrawing">
    <cdr:from>
      <cdr:x>0.48843</cdr:x>
      <cdr:y>0.37963</cdr:y>
    </cdr:from>
    <cdr:to>
      <cdr:x>0.50697</cdr:x>
      <cdr:y>0.41425</cdr:y>
    </cdr:to>
    <cdr:sp macro="" textlink="">
      <cdr:nvSpPr>
        <cdr:cNvPr id="18" name="Oval 17"/>
        <cdr:cNvSpPr/>
      </cdr:nvSpPr>
      <cdr:spPr>
        <a:xfrm xmlns:a="http://schemas.openxmlformats.org/drawingml/2006/main">
          <a:off x="2679716" y="1041404"/>
          <a:ext cx="101718" cy="9497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0.51794</cdr:x>
      <cdr:y>0.35764</cdr:y>
    </cdr:from>
    <cdr:to>
      <cdr:x>0.56944</cdr:x>
      <cdr:y>0.38658</cdr:y>
    </cdr:to>
    <cdr:cxnSp macro="">
      <cdr:nvCxnSpPr>
        <cdr:cNvPr id="20" name="Straight Arrow Connector 19"/>
        <cdr:cNvCxnSpPr/>
      </cdr:nvCxnSpPr>
      <cdr:spPr>
        <a:xfrm xmlns:a="http://schemas.openxmlformats.org/drawingml/2006/main" flipH="1">
          <a:off x="2841614" y="981075"/>
          <a:ext cx="282587" cy="7938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0.12211</cdr:x>
      <cdr:y>0.34491</cdr:y>
    </cdr:from>
    <cdr:to>
      <cdr:x>0.40278</cdr:x>
      <cdr:y>0.5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669925" y="946151"/>
          <a:ext cx="1539876" cy="425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MLE logistic regression</a:t>
          </a:r>
          <a:endParaRPr lang="en-US" b="1">
            <a:solidFill>
              <a:schemeClr val="tx1"/>
            </a:solidFill>
            <a:effectLst/>
          </a:endParaRPr>
        </a:p>
        <a:p xmlns:a="http://schemas.openxmlformats.org/drawingml/2006/main">
          <a:r>
            <a:rPr lang="en-US" sz="1100" b="1" baseline="0">
              <a:solidFill>
                <a:schemeClr val="tx1"/>
              </a:solidFill>
            </a:rPr>
            <a:t>Slope = -0.0140</a:t>
          </a:r>
          <a:r>
            <a:rPr lang="en-US" sz="1100" baseline="0"/>
            <a:t/>
          </a:r>
          <a:br>
            <a:rPr lang="en-US" sz="1100" baseline="0"/>
          </a:br>
          <a:endParaRPr lang="en-US" sz="1100"/>
        </a:p>
      </cdr:txBody>
    </cdr:sp>
  </cdr:relSizeAnchor>
  <cdr:relSizeAnchor xmlns:cdr="http://schemas.openxmlformats.org/drawingml/2006/chartDrawing">
    <cdr:from>
      <cdr:x>0.12211</cdr:x>
      <cdr:y>0.51157</cdr:y>
    </cdr:from>
    <cdr:to>
      <cdr:x>0.45313</cdr:x>
      <cdr:y>0.74653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669924" y="1403350"/>
          <a:ext cx="1816101" cy="644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OLS</a:t>
          </a:r>
          <a:r>
            <a:rPr lang="en-US" sz="1100" b="1" baseline="0">
              <a:solidFill>
                <a:schemeClr val="tx1"/>
              </a:solidFill>
            </a:rPr>
            <a:t> Pulse1|Gender</a:t>
          </a:r>
          <a:br>
            <a:rPr lang="en-US" sz="1100" b="1" baseline="0">
              <a:solidFill>
                <a:schemeClr val="tx1"/>
              </a:solidFill>
            </a:rPr>
          </a:br>
          <a:r>
            <a:rPr lang="en-US" sz="1100" b="1" baseline="0">
              <a:solidFill>
                <a:schemeClr val="tx1"/>
              </a:solidFill>
            </a:rPr>
            <a:t>Means difference: -6.44</a:t>
          </a:r>
          <a:br>
            <a:rPr lang="en-US" sz="1100" b="1" baseline="0">
              <a:solidFill>
                <a:schemeClr val="tx1"/>
              </a:solidFill>
            </a:rPr>
          </a:br>
          <a:r>
            <a:rPr lang="en-US" sz="1100" b="1" baseline="0">
              <a:solidFill>
                <a:schemeClr val="tx1"/>
              </a:solidFill>
            </a:rPr>
            <a:t>Slope = 1/(-6.44) = -0.1544</a:t>
          </a:r>
          <a:endParaRPr lang="en-US" sz="1100" b="1">
            <a:solidFill>
              <a:schemeClr val="tx1"/>
            </a:solidFill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0.70357</cdr:x>
      <cdr:y>0</cdr:y>
    </cdr:from>
    <cdr:to>
      <cdr:x>1</cdr:x>
      <cdr:y>0.15664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52850" y="0"/>
          <a:ext cx="1581150" cy="4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MLE Logistic 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0.50039</cdr:x>
      <cdr:y>0.66315</cdr:y>
    </cdr:from>
    <cdr:to>
      <cdr:x>0.65531</cdr:x>
      <cdr:y>0.74484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669096" y="1806512"/>
          <a:ext cx="826343" cy="222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0.37746</cdr:x>
      <cdr:y>0.1795</cdr:y>
    </cdr:from>
    <cdr:to>
      <cdr:x>0.53238</cdr:x>
      <cdr:y>0.26118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2013387" y="488985"/>
          <a:ext cx="826343" cy="222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0.15256</cdr:x>
      <cdr:y>0.6049</cdr:y>
    </cdr:from>
    <cdr:to>
      <cdr:x>0.47679</cdr:x>
      <cdr:y>0.6955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813755" y="1665128"/>
          <a:ext cx="1729443" cy="2493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MLE Logistic regression </a:t>
          </a:r>
        </a:p>
      </cdr:txBody>
    </cdr:sp>
  </cdr:relSizeAnchor>
  <cdr:relSizeAnchor xmlns:cdr="http://schemas.openxmlformats.org/drawingml/2006/chartDrawing">
    <cdr:from>
      <cdr:x>0.59796</cdr:x>
      <cdr:y>0.23645</cdr:y>
    </cdr:from>
    <cdr:to>
      <cdr:x>1</cdr:x>
      <cdr:y>0.53647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189531" y="650875"/>
          <a:ext cx="2144469" cy="825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solidFill>
                <a:schemeClr val="tx1"/>
              </a:solidFill>
            </a:rPr>
            <a:t>P(Y|X)</a:t>
          </a:r>
          <a:r>
            <a:rPr lang="en-US" sz="1100" b="1" baseline="0">
              <a:solidFill>
                <a:schemeClr val="tx1"/>
              </a:solidFill>
            </a:rPr>
            <a:t> = 1 / {1 + Exp[-(a + bX)]}</a:t>
          </a:r>
          <a:br>
            <a:rPr lang="en-US" sz="1100" b="1" baseline="0">
              <a:solidFill>
                <a:schemeClr val="tx1"/>
              </a:solidFill>
            </a:rPr>
          </a:br>
          <a:r>
            <a:rPr lang="en-US" sz="1100" b="1" baseline="0">
              <a:solidFill>
                <a:schemeClr val="tx1"/>
              </a:solidFill>
            </a:rPr>
            <a:t>a = 4.61;  b = -0.0561. </a:t>
          </a:r>
        </a:p>
        <a:p xmlns:a="http://schemas.openxmlformats.org/drawingml/2006/main">
          <a:pPr algn="ctr"/>
          <a:r>
            <a:rPr lang="en-US" sz="1100" b="1" baseline="0">
              <a:solidFill>
                <a:schemeClr val="tx1"/>
              </a:solidFill>
            </a:rPr>
            <a:t>Slope(X=Xo) = b/4 = -0.0140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Xo = -a/b = 82.22 bpm</a:t>
          </a:r>
          <a:endParaRPr lang="en-US" b="1">
            <a:solidFill>
              <a:schemeClr val="tx1"/>
            </a:solidFill>
            <a:effectLst/>
          </a:endParaRPr>
        </a:p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0.28274</cdr:x>
      <cdr:y>0.41984</cdr:y>
    </cdr:from>
    <cdr:to>
      <cdr:x>0.52143</cdr:x>
      <cdr:y>0.51211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508125" y="1155700"/>
          <a:ext cx="1273175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1">
              <a:solidFill>
                <a:schemeClr val="tx1"/>
              </a:solidFill>
            </a:rPr>
            <a:t>X = Xo if P(X) = 0.5</a:t>
          </a:r>
        </a:p>
      </cdr:txBody>
    </cdr:sp>
  </cdr:relSizeAnchor>
  <cdr:relSizeAnchor xmlns:cdr="http://schemas.openxmlformats.org/drawingml/2006/chartDrawing">
    <cdr:from>
      <cdr:x>0.60179</cdr:x>
      <cdr:y>0.48097</cdr:y>
    </cdr:from>
    <cdr:to>
      <cdr:x>0.65952</cdr:x>
      <cdr:y>0.48212</cdr:y>
    </cdr:to>
    <cdr:cxnSp macro="">
      <cdr:nvCxnSpPr>
        <cdr:cNvPr id="12" name="Straight Arrow Connector 11"/>
        <cdr:cNvCxnSpPr/>
      </cdr:nvCxnSpPr>
      <cdr:spPr>
        <a:xfrm xmlns:a="http://schemas.openxmlformats.org/drawingml/2006/main" flipH="1" flipV="1">
          <a:off x="3209925" y="1323975"/>
          <a:ext cx="307975" cy="317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0.69626</cdr:x>
      <cdr:y>0</cdr:y>
    </cdr:from>
    <cdr:to>
      <cdr:x>1</cdr:x>
      <cdr:y>0.15664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71900" y="0"/>
          <a:ext cx="1645443" cy="4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OLS  of Rest Pulse </a:t>
          </a:r>
          <a:br>
            <a:rPr lang="en-US" sz="1100"/>
          </a:br>
          <a:r>
            <a:rPr lang="en-US" sz="1100"/>
            <a:t>by Gender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0.45113</cdr:x>
      <cdr:y>0.67134</cdr:y>
    </cdr:from>
    <cdr:to>
      <cdr:x>0.60605</cdr:x>
      <cdr:y>0.75303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475058" y="1841626"/>
          <a:ext cx="849953" cy="224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0.50127</cdr:x>
      <cdr:y>0.1795</cdr:y>
    </cdr:from>
    <cdr:to>
      <cdr:x>0.65619</cdr:x>
      <cdr:y>0.26118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2750192" y="492404"/>
          <a:ext cx="849953" cy="224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0.66977</cdr:x>
      <cdr:y>0.5594</cdr:y>
    </cdr:from>
    <cdr:to>
      <cdr:x>0.91606</cdr:x>
      <cdr:y>0.71233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3674626" y="1534534"/>
          <a:ext cx="1351246" cy="419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rest pulse  of Women 76.86 bpm</a:t>
          </a:r>
        </a:p>
      </cdr:txBody>
    </cdr:sp>
  </cdr:relSizeAnchor>
  <cdr:relSizeAnchor xmlns:cdr="http://schemas.openxmlformats.org/drawingml/2006/chartDrawing">
    <cdr:from>
      <cdr:x>0.36285</cdr:x>
      <cdr:y>0.20486</cdr:y>
    </cdr:from>
    <cdr:to>
      <cdr:x>0.44792</cdr:x>
      <cdr:y>0.39931</cdr:y>
    </cdr:to>
    <cdr:cxnSp macro="">
      <cdr:nvCxnSpPr>
        <cdr:cNvPr id="25" name="Straight Arrow Connector 24"/>
        <cdr:cNvCxnSpPr/>
      </cdr:nvCxnSpPr>
      <cdr:spPr>
        <a:xfrm xmlns:a="http://schemas.openxmlformats.org/drawingml/2006/main" flipV="1">
          <a:off x="1990726" y="561969"/>
          <a:ext cx="466736" cy="53340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0.21275</cdr:x>
      <cdr:y>0.39118</cdr:y>
    </cdr:from>
    <cdr:to>
      <cdr:x>0.43924</cdr:x>
      <cdr:y>0.54411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1167232" y="1073085"/>
          <a:ext cx="1242594" cy="419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rest pulse </a:t>
          </a:r>
          <a:br>
            <a:rPr lang="en-US" sz="1100"/>
          </a:br>
          <a:r>
            <a:rPr lang="en-US" sz="1100"/>
            <a:t>of Men 70.42 bpm</a:t>
          </a:r>
        </a:p>
      </cdr:txBody>
    </cdr:sp>
  </cdr:relSizeAnchor>
  <cdr:relSizeAnchor xmlns:cdr="http://schemas.openxmlformats.org/drawingml/2006/chartDrawing">
    <cdr:from>
      <cdr:x>0.57283</cdr:x>
      <cdr:y>0.65625</cdr:y>
    </cdr:from>
    <cdr:to>
      <cdr:x>0.67014</cdr:x>
      <cdr:y>0.73436</cdr:y>
    </cdr:to>
    <cdr:cxnSp macro="">
      <cdr:nvCxnSpPr>
        <cdr:cNvPr id="30" name="Straight Arrow Connector 29"/>
        <cdr:cNvCxnSpPr/>
      </cdr:nvCxnSpPr>
      <cdr:spPr>
        <a:xfrm xmlns:a="http://schemas.openxmlformats.org/drawingml/2006/main" flipH="1">
          <a:off x="3142799" y="1800225"/>
          <a:ext cx="533852" cy="21425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0.55729</cdr:x>
      <cdr:y>0.26504</cdr:y>
    </cdr:from>
    <cdr:to>
      <cdr:x>0.92187</cdr:x>
      <cdr:y>0.42708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057526" y="727070"/>
          <a:ext cx="2000225" cy="444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rest pulse of All:</a:t>
          </a:r>
          <a:r>
            <a:rPr lang="en-US" sz="1100" baseline="0"/>
            <a:t> 72.87 bpm</a:t>
          </a:r>
        </a:p>
        <a:p xmlns:a="http://schemas.openxmlformats.org/drawingml/2006/main">
          <a:r>
            <a:rPr lang="en-US" sz="1100" baseline="0"/>
            <a:t>62% are men</a:t>
          </a:r>
          <a:endParaRPr lang="en-US" sz="1100"/>
        </a:p>
      </cdr:txBody>
    </cdr:sp>
  </cdr:relSizeAnchor>
  <cdr:relSizeAnchor xmlns:cdr="http://schemas.openxmlformats.org/drawingml/2006/chartDrawing">
    <cdr:from>
      <cdr:x>0.48843</cdr:x>
      <cdr:y>0.37963</cdr:y>
    </cdr:from>
    <cdr:to>
      <cdr:x>0.50697</cdr:x>
      <cdr:y>0.41425</cdr:y>
    </cdr:to>
    <cdr:sp macro="" textlink="">
      <cdr:nvSpPr>
        <cdr:cNvPr id="18" name="Oval 17"/>
        <cdr:cNvSpPr/>
      </cdr:nvSpPr>
      <cdr:spPr>
        <a:xfrm xmlns:a="http://schemas.openxmlformats.org/drawingml/2006/main">
          <a:off x="2679716" y="1041404"/>
          <a:ext cx="101718" cy="9497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0.51794</cdr:x>
      <cdr:y>0.35764</cdr:y>
    </cdr:from>
    <cdr:to>
      <cdr:x>0.56944</cdr:x>
      <cdr:y>0.38658</cdr:y>
    </cdr:to>
    <cdr:cxnSp macro="">
      <cdr:nvCxnSpPr>
        <cdr:cNvPr id="20" name="Straight Arrow Connector 19"/>
        <cdr:cNvCxnSpPr/>
      </cdr:nvCxnSpPr>
      <cdr:spPr>
        <a:xfrm xmlns:a="http://schemas.openxmlformats.org/drawingml/2006/main" flipH="1">
          <a:off x="2841614" y="981075"/>
          <a:ext cx="282587" cy="7938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0.72396</cdr:x>
      <cdr:y>0</cdr:y>
    </cdr:from>
    <cdr:to>
      <cdr:x>1</cdr:x>
      <cdr:y>0.10417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71925" y="0"/>
          <a:ext cx="1514475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MLE Logistic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0.00964</cdr:x>
      <cdr:y>0.01852</cdr:y>
    </cdr:from>
    <cdr:to>
      <cdr:x>0.16456</cdr:x>
      <cdr:y>0.12268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0799" y="50800"/>
          <a:ext cx="815975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0.83517</cdr:x>
      <cdr:y>0.18356</cdr:y>
    </cdr:from>
    <cdr:to>
      <cdr:x>0.99009</cdr:x>
      <cdr:y>0.26525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613908" y="503554"/>
          <a:ext cx="855856" cy="224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Male</a:t>
          </a:r>
        </a:p>
      </cdr:txBody>
    </cdr:sp>
  </cdr:relSizeAnchor>
  <cdr:relSizeAnchor xmlns:cdr="http://schemas.openxmlformats.org/drawingml/2006/chartDrawing">
    <cdr:from>
      <cdr:x>0.22122</cdr:x>
      <cdr:y>0.64992</cdr:y>
    </cdr:from>
    <cdr:to>
      <cdr:x>0.37614</cdr:x>
      <cdr:y>0.7316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222115" y="1782848"/>
          <a:ext cx="855855" cy="224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Female</a:t>
          </a:r>
        </a:p>
      </cdr:txBody>
    </cdr:sp>
  </cdr:relSizeAnchor>
  <cdr:relSizeAnchor xmlns:cdr="http://schemas.openxmlformats.org/drawingml/2006/chartDrawing">
    <cdr:from>
      <cdr:x>0.61379</cdr:x>
      <cdr:y>0.30671</cdr:y>
    </cdr:from>
    <cdr:to>
      <cdr:x>0.96552</cdr:x>
      <cdr:y>0.71181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390883" y="841367"/>
          <a:ext cx="1943132" cy="1111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P(X)</a:t>
          </a:r>
          <a:r>
            <a:rPr lang="en-US" sz="1100" baseline="0"/>
            <a:t> = 1 / {1 + Exp[-(a + bX)] where a = -53.32 and </a:t>
          </a:r>
          <a:br>
            <a:rPr lang="en-US" sz="1100" baseline="0"/>
          </a:br>
          <a:r>
            <a:rPr lang="en-US" sz="1100" baseline="0"/>
            <a:t>b = 0.7905. </a:t>
          </a:r>
        </a:p>
        <a:p xmlns:a="http://schemas.openxmlformats.org/drawingml/2006/main">
          <a:pPr algn="ctr"/>
          <a:r>
            <a:rPr lang="en-US" sz="1100" baseline="0"/>
            <a:t>Xo = -a/b = 67.4529</a:t>
          </a:r>
        </a:p>
        <a:p xmlns:a="http://schemas.openxmlformats.org/drawingml/2006/main">
          <a:pPr algn="ctr"/>
          <a:r>
            <a:rPr lang="en-US" sz="1100" baseline="0"/>
            <a:t>S = Slope(X=Xo) = b/4.</a:t>
          </a:r>
          <a:br>
            <a:rPr lang="en-US" sz="1100" baseline="0"/>
          </a:br>
          <a:r>
            <a:rPr lang="en-US" sz="1100" baseline="0"/>
            <a:t>So Slope(X=Xo) = 0.1976 </a:t>
          </a:r>
          <a:endParaRPr lang="en-US" sz="1100"/>
        </a:p>
      </cdr:txBody>
    </cdr:sp>
  </cdr:relSizeAnchor>
  <cdr:relSizeAnchor xmlns:cdr="http://schemas.openxmlformats.org/drawingml/2006/chartDrawing">
    <cdr:from>
      <cdr:x>0.18678</cdr:x>
      <cdr:y>0.23032</cdr:y>
    </cdr:from>
    <cdr:to>
      <cdr:x>0.48448</cdr:x>
      <cdr:y>0.37847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1031875" y="631825"/>
          <a:ext cx="1644650" cy="406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Logistic regression based on exact MLE solution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0.71945</cdr:x>
      <cdr:y>0</cdr:y>
    </cdr:from>
    <cdr:to>
      <cdr:x>1</cdr:x>
      <cdr:y>0.15664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81450" y="0"/>
          <a:ext cx="1552575" cy="4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OLS Gender by Height</a:t>
          </a:r>
          <a:br>
            <a:rPr lang="en-US" sz="1100"/>
          </a:br>
          <a:r>
            <a:rPr lang="en-US" sz="1100"/>
            <a:t>OLS Height by Gender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0.42634</cdr:x>
      <cdr:y>0.68169</cdr:y>
    </cdr:from>
    <cdr:to>
      <cdr:x>0.58126</cdr:x>
      <cdr:y>0.76338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359369" y="1889499"/>
          <a:ext cx="857331" cy="226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0.57982</cdr:x>
      <cdr:y>0.17273</cdr:y>
    </cdr:from>
    <cdr:to>
      <cdr:x>0.73474</cdr:x>
      <cdr:y>0.25441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208751" y="478763"/>
          <a:ext cx="857331" cy="226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0.69957</cdr:x>
      <cdr:y>0.28509</cdr:y>
    </cdr:from>
    <cdr:to>
      <cdr:x>0.94586</cdr:x>
      <cdr:y>0.43802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3871425" y="782059"/>
          <a:ext cx="1362976" cy="419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Height of Men 70.75"</a:t>
          </a:r>
        </a:p>
      </cdr:txBody>
    </cdr:sp>
  </cdr:relSizeAnchor>
  <cdr:relSizeAnchor xmlns:cdr="http://schemas.openxmlformats.org/drawingml/2006/chartDrawing">
    <cdr:from>
      <cdr:x>0.68536</cdr:x>
      <cdr:y>0.19588</cdr:y>
    </cdr:from>
    <cdr:to>
      <cdr:x>0.71084</cdr:x>
      <cdr:y>0.36082</cdr:y>
    </cdr:to>
    <cdr:cxnSp macro="">
      <cdr:nvCxnSpPr>
        <cdr:cNvPr id="25" name="Straight Arrow Connector 24"/>
        <cdr:cNvCxnSpPr/>
      </cdr:nvCxnSpPr>
      <cdr:spPr>
        <a:xfrm xmlns:a="http://schemas.openxmlformats.org/drawingml/2006/main" flipH="1" flipV="1">
          <a:off x="3792788" y="542937"/>
          <a:ext cx="141037" cy="45718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0.21727</cdr:x>
      <cdr:y>0.39465</cdr:y>
    </cdr:from>
    <cdr:to>
      <cdr:x>0.4102</cdr:x>
      <cdr:y>0.54758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1202362" y="1082601"/>
          <a:ext cx="1067680" cy="419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Height of Women 65.40"</a:t>
          </a:r>
        </a:p>
      </cdr:txBody>
    </cdr:sp>
  </cdr:relSizeAnchor>
  <cdr:relSizeAnchor xmlns:cdr="http://schemas.openxmlformats.org/drawingml/2006/chartDrawing">
    <cdr:from>
      <cdr:x>0.34478</cdr:x>
      <cdr:y>0.53165</cdr:y>
    </cdr:from>
    <cdr:to>
      <cdr:x>0.4062</cdr:x>
      <cdr:y>0.74227</cdr:y>
    </cdr:to>
    <cdr:cxnSp macro="">
      <cdr:nvCxnSpPr>
        <cdr:cNvPr id="30" name="Straight Arrow Connector 29"/>
        <cdr:cNvCxnSpPr/>
      </cdr:nvCxnSpPr>
      <cdr:spPr>
        <a:xfrm xmlns:a="http://schemas.openxmlformats.org/drawingml/2006/main">
          <a:off x="1908021" y="1473614"/>
          <a:ext cx="339879" cy="58378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0.5701</cdr:x>
      <cdr:y>0.39524</cdr:y>
    </cdr:from>
    <cdr:to>
      <cdr:x>0.59036</cdr:x>
      <cdr:y>0.42358</cdr:y>
    </cdr:to>
    <cdr:sp macro="" textlink="">
      <cdr:nvSpPr>
        <cdr:cNvPr id="35" name="Oval 34"/>
        <cdr:cNvSpPr/>
      </cdr:nvSpPr>
      <cdr:spPr>
        <a:xfrm xmlns:a="http://schemas.openxmlformats.org/drawingml/2006/main">
          <a:off x="3154946" y="1095506"/>
          <a:ext cx="112119" cy="78553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0.62535</cdr:x>
      <cdr:y>0.4663</cdr:y>
    </cdr:from>
    <cdr:to>
      <cdr:x>0.95565</cdr:x>
      <cdr:y>0.61926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460730" y="1292467"/>
          <a:ext cx="1827888" cy="423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Height of All: 68.72"</a:t>
          </a:r>
          <a:br>
            <a:rPr lang="en-US" sz="1100"/>
          </a:br>
          <a:r>
            <a:rPr lang="en-US" sz="1100"/>
            <a:t>62%</a:t>
          </a:r>
          <a:r>
            <a:rPr lang="en-US" sz="1100" baseline="0"/>
            <a:t> are men</a:t>
          </a:r>
          <a:endParaRPr lang="en-US" sz="1100"/>
        </a:p>
      </cdr:txBody>
    </cdr:sp>
  </cdr:relSizeAnchor>
  <cdr:relSizeAnchor xmlns:cdr="http://schemas.openxmlformats.org/drawingml/2006/chartDrawing">
    <cdr:from>
      <cdr:x>0.57889</cdr:x>
      <cdr:y>0.43505</cdr:y>
    </cdr:from>
    <cdr:to>
      <cdr:x>0.68503</cdr:x>
      <cdr:y>0.4825</cdr:y>
    </cdr:to>
    <cdr:cxnSp macro="">
      <cdr:nvCxnSpPr>
        <cdr:cNvPr id="15" name="Straight Arrow Connector 14"/>
        <cdr:cNvCxnSpPr/>
      </cdr:nvCxnSpPr>
      <cdr:spPr>
        <a:xfrm xmlns:a="http://schemas.openxmlformats.org/drawingml/2006/main" flipH="1" flipV="1">
          <a:off x="3203594" y="1205849"/>
          <a:ext cx="587381" cy="13152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0.12278</cdr:x>
      <cdr:y>0.21991</cdr:y>
    </cdr:from>
    <cdr:to>
      <cdr:x>0.46127</cdr:x>
      <cdr:y>0.37284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79450" y="603250"/>
          <a:ext cx="1873250" cy="419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Solid: OLS Height on Gender</a:t>
          </a:r>
        </a:p>
        <a:p xmlns:a="http://schemas.openxmlformats.org/drawingml/2006/main">
          <a:r>
            <a:rPr lang="en-US" sz="1100"/>
            <a:t>Dash: OLS Gender</a:t>
          </a:r>
          <a:r>
            <a:rPr lang="en-US" sz="1100" baseline="0"/>
            <a:t> on Height</a:t>
          </a:r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0.00543</cdr:x>
      <cdr:y>0.92101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416" y="2526507"/>
          <a:ext cx="764062" cy="2166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0.88427</cdr:x>
      <cdr:y>0.91753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90394" y="2516982"/>
          <a:ext cx="626949" cy="226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0.41814</cdr:x>
      <cdr:y>0.66787</cdr:y>
    </cdr:from>
    <cdr:to>
      <cdr:x>0.57306</cdr:x>
      <cdr:y>0.74956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201479" y="1832113"/>
          <a:ext cx="815645" cy="224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0.53533</cdr:x>
      <cdr:y>0.17603</cdr:y>
    </cdr:from>
    <cdr:to>
      <cdr:x>0.69025</cdr:x>
      <cdr:y>0.25771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2900081" y="482879"/>
          <a:ext cx="839255" cy="224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0.32264</cdr:x>
      <cdr:y>0.25576</cdr:y>
    </cdr:from>
    <cdr:to>
      <cdr:x>0.61487</cdr:x>
      <cdr:y>0.35156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1747837" y="701602"/>
          <a:ext cx="1583144" cy="262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Estimate: Dashed line</a:t>
          </a:r>
        </a:p>
      </cdr:txBody>
    </cdr:sp>
  </cdr:relSizeAnchor>
  <cdr:relSizeAnchor xmlns:cdr="http://schemas.openxmlformats.org/drawingml/2006/chartDrawing">
    <cdr:from>
      <cdr:x>0.51375</cdr:x>
      <cdr:y>0.4543</cdr:y>
    </cdr:from>
    <cdr:to>
      <cdr:x>0.53286</cdr:x>
      <cdr:y>0.48891</cdr:y>
    </cdr:to>
    <cdr:sp macro="" textlink="">
      <cdr:nvSpPr>
        <cdr:cNvPr id="35" name="Oval 34"/>
        <cdr:cNvSpPr/>
      </cdr:nvSpPr>
      <cdr:spPr>
        <a:xfrm xmlns:a="http://schemas.openxmlformats.org/drawingml/2006/main">
          <a:off x="2723224" y="1259217"/>
          <a:ext cx="101296" cy="95932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0.18344</cdr:x>
      <cdr:y>0.59838</cdr:y>
    </cdr:from>
    <cdr:to>
      <cdr:x>0.38418</cdr:x>
      <cdr:y>0.69418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993775" y="1641475"/>
          <a:ext cx="1087437" cy="262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MLE: Solid line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0.70943</cdr:x>
      <cdr:y>0</cdr:y>
    </cdr:from>
    <cdr:to>
      <cdr:x>1</cdr:x>
      <cdr:y>0.15664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24300" y="0"/>
          <a:ext cx="1607343" cy="4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MLE Logistic and  </a:t>
          </a:r>
          <a:br>
            <a:rPr lang="en-US" sz="1100"/>
          </a:br>
          <a:r>
            <a:rPr lang="en-US" sz="1100"/>
            <a:t>OLS Gender on Height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0.41814</cdr:x>
      <cdr:y>0.66787</cdr:y>
    </cdr:from>
    <cdr:to>
      <cdr:x>0.57306</cdr:x>
      <cdr:y>0.74956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201479" y="1832113"/>
          <a:ext cx="815645" cy="224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0.58808</cdr:x>
      <cdr:y>0.1795</cdr:y>
    </cdr:from>
    <cdr:to>
      <cdr:x>0.743</cdr:x>
      <cdr:y>0.26118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096232" y="492395"/>
          <a:ext cx="815645" cy="224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0.69107</cdr:x>
      <cdr:y>0.38432</cdr:y>
    </cdr:from>
    <cdr:to>
      <cdr:x>0.97321</cdr:x>
      <cdr:y>0.64425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3686190" y="1054279"/>
          <a:ext cx="1504935" cy="7130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P(Y) = 1.0  if </a:t>
          </a:r>
          <a:r>
            <a:rPr lang="en-US" sz="1100" b="1" baseline="0">
              <a:solidFill>
                <a:schemeClr val="tx1"/>
              </a:solidFill>
            </a:rPr>
            <a:t>X = 72.71</a:t>
          </a:r>
          <a:endParaRPr lang="en-US" sz="1100" b="1">
            <a:solidFill>
              <a:schemeClr val="tx1"/>
            </a:solidFill>
          </a:endParaRPr>
        </a:p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P(Y) = 0.5  if X = </a:t>
          </a:r>
          <a:r>
            <a:rPr lang="en-US" sz="1100" b="1" baseline="0">
              <a:solidFill>
                <a:schemeClr val="tx1"/>
              </a:solidFill>
            </a:rPr>
            <a:t>67.46</a:t>
          </a:r>
        </a:p>
        <a:p xmlns:a="http://schemas.openxmlformats.org/drawingml/2006/main">
          <a:r>
            <a:rPr lang="en-US" sz="1100" b="1" baseline="0">
              <a:solidFill>
                <a:schemeClr val="tx1"/>
              </a:solidFill>
            </a:rPr>
            <a:t>P(Y) = 0.0  if X = 62.22</a:t>
          </a:r>
          <a:endParaRPr lang="en-US" sz="1100" b="1">
            <a:solidFill>
              <a:schemeClr val="tx1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0.69626</cdr:x>
      <cdr:y>0</cdr:y>
    </cdr:from>
    <cdr:to>
      <cdr:x>1</cdr:x>
      <cdr:y>0.15664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71900" y="0"/>
          <a:ext cx="1645443" cy="4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MLE Logistic and OLS </a:t>
          </a:r>
          <a:br>
            <a:rPr lang="en-US" sz="1100"/>
          </a:br>
          <a:r>
            <a:rPr lang="en-US" sz="1100"/>
            <a:t>of Height by Gender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0.48238</cdr:x>
      <cdr:y>0.67134</cdr:y>
    </cdr:from>
    <cdr:to>
      <cdr:x>0.6373</cdr:x>
      <cdr:y>0.75303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646508" y="1841626"/>
          <a:ext cx="849953" cy="224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0.58808</cdr:x>
      <cdr:y>0.1795</cdr:y>
    </cdr:from>
    <cdr:to>
      <cdr:x>0.743</cdr:x>
      <cdr:y>0.26118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096232" y="492395"/>
          <a:ext cx="815645" cy="224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0.6875</cdr:x>
      <cdr:y>0.26426</cdr:y>
    </cdr:from>
    <cdr:to>
      <cdr:x>1</cdr:x>
      <cdr:y>0.48264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3771900" y="724909"/>
          <a:ext cx="1714500" cy="599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Height of Men:</a:t>
          </a:r>
          <a:r>
            <a:rPr lang="en-US" sz="1100" baseline="0"/>
            <a:t> </a:t>
          </a:r>
          <a:r>
            <a:rPr lang="en-US" sz="1100"/>
            <a:t>70.75"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Ave Ht of All: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68.72"</a:t>
          </a:r>
          <a:br>
            <a:rPr lang="en-US" sz="1100" baseline="0"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effectLst/>
              <a:latin typeface="+mn-lt"/>
              <a:ea typeface="+mn-ea"/>
              <a:cs typeface="+mn-cs"/>
            </a:rPr>
            <a:t>62% are men</a:t>
          </a:r>
          <a:endParaRPr lang="en-US">
            <a:effectLst/>
          </a:endParaRP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0.69792</cdr:x>
      <cdr:y>0.19791</cdr:y>
    </cdr:from>
    <cdr:to>
      <cdr:x>0.73264</cdr:x>
      <cdr:y>0.28819</cdr:y>
    </cdr:to>
    <cdr:cxnSp macro="">
      <cdr:nvCxnSpPr>
        <cdr:cNvPr id="25" name="Straight Arrow Connector 24"/>
        <cdr:cNvCxnSpPr/>
      </cdr:nvCxnSpPr>
      <cdr:spPr>
        <a:xfrm xmlns:a="http://schemas.openxmlformats.org/drawingml/2006/main" flipH="1" flipV="1">
          <a:off x="3829062" y="542919"/>
          <a:ext cx="190488" cy="24765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0.19192</cdr:x>
      <cdr:y>0.54396</cdr:y>
    </cdr:from>
    <cdr:to>
      <cdr:x>0.4024</cdr:x>
      <cdr:y>0.69689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1052932" y="1492185"/>
          <a:ext cx="1154777" cy="4195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Height of Women 65.40"</a:t>
          </a:r>
        </a:p>
      </cdr:txBody>
    </cdr:sp>
  </cdr:relSizeAnchor>
  <cdr:relSizeAnchor xmlns:cdr="http://schemas.openxmlformats.org/drawingml/2006/chartDrawing">
    <cdr:from>
      <cdr:x>0.36979</cdr:x>
      <cdr:y>0.65625</cdr:y>
    </cdr:from>
    <cdr:to>
      <cdr:x>0.40451</cdr:x>
      <cdr:y>0.73958</cdr:y>
    </cdr:to>
    <cdr:cxnSp macro="">
      <cdr:nvCxnSpPr>
        <cdr:cNvPr id="30" name="Straight Arrow Connector 29"/>
        <cdr:cNvCxnSpPr/>
      </cdr:nvCxnSpPr>
      <cdr:spPr>
        <a:xfrm xmlns:a="http://schemas.openxmlformats.org/drawingml/2006/main">
          <a:off x="2028826" y="1800225"/>
          <a:ext cx="190478" cy="22859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0.13854</cdr:x>
      <cdr:y>0.22685</cdr:y>
    </cdr:from>
    <cdr:to>
      <cdr:x>0.53646</cdr:x>
      <cdr:y>0.45833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760109" y="622295"/>
          <a:ext cx="2183117" cy="635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+mn-lt"/>
              <a:ea typeface="+mn-ea"/>
              <a:cs typeface="+mn-cs"/>
            </a:rPr>
            <a:t>MLE logistic regression</a:t>
          </a:r>
          <a:endParaRPr lang="en-US">
            <a:effectLst/>
          </a:endParaRPr>
        </a:p>
        <a:p xmlns:a="http://schemas.openxmlformats.org/drawingml/2006/main">
          <a:r>
            <a:rPr lang="en-US" sz="1100">
              <a:effectLst/>
              <a:latin typeface="+mn-lt"/>
              <a:ea typeface="+mn-ea"/>
              <a:cs typeface="+mn-cs"/>
            </a:rPr>
            <a:t>P(Male) = 0.5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when X = 67.4529</a:t>
          </a:r>
          <a:br>
            <a:rPr lang="en-US" sz="1100" baseline="0">
              <a:effectLst/>
              <a:latin typeface="+mn-lt"/>
              <a:ea typeface="+mn-ea"/>
              <a:cs typeface="+mn-cs"/>
            </a:rPr>
          </a:br>
          <a:r>
            <a:rPr lang="en-US" sz="1100" baseline="0">
              <a:effectLst/>
              <a:latin typeface="+mn-lt"/>
              <a:ea typeface="+mn-ea"/>
              <a:cs typeface="+mn-cs"/>
            </a:rPr>
            <a:t>Slope (X = 67.45) = 0.1976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0.57176</cdr:x>
      <cdr:y>0.3831</cdr:y>
    </cdr:from>
    <cdr:to>
      <cdr:x>0.5903</cdr:x>
      <cdr:y>0.41772</cdr:y>
    </cdr:to>
    <cdr:sp macro="" textlink="">
      <cdr:nvSpPr>
        <cdr:cNvPr id="18" name="Oval 17"/>
        <cdr:cNvSpPr/>
      </cdr:nvSpPr>
      <cdr:spPr>
        <a:xfrm xmlns:a="http://schemas.openxmlformats.org/drawingml/2006/main">
          <a:off x="3136916" y="1050929"/>
          <a:ext cx="101718" cy="9497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0.68634</cdr:x>
      <cdr:y>0.54977</cdr:y>
    </cdr:from>
    <cdr:to>
      <cdr:x>0.98934</cdr:x>
      <cdr:y>0.78472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3765550" y="1508125"/>
          <a:ext cx="1662390" cy="644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OLS2</a:t>
          </a:r>
          <a:r>
            <a:rPr lang="en-US" sz="1100" baseline="0"/>
            <a:t> Height|Gender</a:t>
          </a:r>
          <a:br>
            <a:rPr lang="en-US" sz="1100" baseline="0"/>
          </a:br>
          <a:r>
            <a:rPr lang="en-US" sz="1100" baseline="0"/>
            <a:t>Means difference: 5.35</a:t>
          </a:r>
          <a:br>
            <a:rPr lang="en-US" sz="1100" baseline="0"/>
          </a:br>
          <a:r>
            <a:rPr lang="en-US" sz="1100" baseline="0"/>
            <a:t>Slope = 1/5.35 = 0.1868</a:t>
          </a:r>
          <a:endParaRPr lang="en-US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0.70357</cdr:x>
      <cdr:y>0</cdr:y>
    </cdr:from>
    <cdr:to>
      <cdr:x>1</cdr:x>
      <cdr:y>0.15664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52850" y="0"/>
          <a:ext cx="1581150" cy="4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MLE Logistic 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0.38075</cdr:x>
      <cdr:y>0.67014</cdr:y>
    </cdr:from>
    <cdr:to>
      <cdr:x>0.53567</cdr:x>
      <cdr:y>0.75183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004633" y="1872379"/>
          <a:ext cx="815645" cy="228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0.59532</cdr:x>
      <cdr:y>0.1795</cdr:y>
    </cdr:from>
    <cdr:to>
      <cdr:x>0.75024</cdr:x>
      <cdr:y>0.26118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134308" y="501523"/>
          <a:ext cx="815645" cy="228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0.14185</cdr:x>
      <cdr:y>0.24683</cdr:y>
    </cdr:from>
    <cdr:to>
      <cdr:x>0.4625</cdr:x>
      <cdr:y>0.39498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56627" y="679455"/>
          <a:ext cx="1710347" cy="4078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solidFill>
                <a:schemeClr val="tx1"/>
              </a:solidFill>
            </a:rPr>
            <a:t>MLE Logistic regression</a:t>
          </a:r>
        </a:p>
      </cdr:txBody>
    </cdr:sp>
  </cdr:relSizeAnchor>
  <cdr:relSizeAnchor xmlns:cdr="http://schemas.openxmlformats.org/drawingml/2006/chartDrawing">
    <cdr:from>
      <cdr:x>0.62024</cdr:x>
      <cdr:y>0.30565</cdr:y>
    </cdr:from>
    <cdr:to>
      <cdr:x>0.99643</cdr:x>
      <cdr:y>0.60208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3308350" y="841375"/>
          <a:ext cx="2006600" cy="815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solidFill>
                <a:schemeClr val="tx1"/>
              </a:solidFill>
            </a:rPr>
            <a:t>P(Y|X)</a:t>
          </a:r>
          <a:r>
            <a:rPr lang="en-US" sz="1100" b="1" baseline="0">
              <a:solidFill>
                <a:schemeClr val="tx1"/>
              </a:solidFill>
            </a:rPr>
            <a:t> = 1 / {1 + Exp[-(a + bX)]}</a:t>
          </a:r>
          <a:br>
            <a:rPr lang="en-US" sz="1100" b="1" baseline="0">
              <a:solidFill>
                <a:schemeClr val="tx1"/>
              </a:solidFill>
            </a:rPr>
          </a:br>
          <a:r>
            <a:rPr lang="en-US" sz="1100" b="1" baseline="0">
              <a:solidFill>
                <a:schemeClr val="tx1"/>
              </a:solidFill>
            </a:rPr>
            <a:t>a = -53.32 ; b = 0.7905. </a:t>
          </a:r>
        </a:p>
        <a:p xmlns:a="http://schemas.openxmlformats.org/drawingml/2006/main">
          <a:pPr algn="ctr"/>
          <a:r>
            <a:rPr lang="en-US" sz="1100" b="1" baseline="0">
              <a:solidFill>
                <a:schemeClr val="tx1"/>
              </a:solidFill>
            </a:rPr>
            <a:t>Xo = -a/b = 67.4529</a:t>
          </a:r>
        </a:p>
        <a:p xmlns:a="http://schemas.openxmlformats.org/drawingml/2006/main">
          <a:pPr algn="ctr"/>
          <a:r>
            <a:rPr lang="en-US" sz="1100" b="1" baseline="0">
              <a:solidFill>
                <a:schemeClr val="tx1"/>
              </a:solidFill>
            </a:rPr>
            <a:t>Slope(X=Xo) = b/4 = 0.1976 </a:t>
          </a:r>
          <a:endParaRPr lang="en-US" sz="11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0.2756</cdr:x>
      <cdr:y>0.42676</cdr:y>
    </cdr:from>
    <cdr:to>
      <cdr:x>0.51429</cdr:x>
      <cdr:y>0.51903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1470025" y="1174750"/>
          <a:ext cx="1273175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1">
              <a:solidFill>
                <a:schemeClr val="tx1"/>
              </a:solidFill>
            </a:rPr>
            <a:t>X = Xo if P(Y) = 0.5</a:t>
          </a:r>
        </a:p>
      </cdr:txBody>
    </cdr:sp>
  </cdr:relSizeAnchor>
  <cdr:relSizeAnchor xmlns:cdr="http://schemas.openxmlformats.org/drawingml/2006/chartDrawing">
    <cdr:from>
      <cdr:x>0.53988</cdr:x>
      <cdr:y>0.47405</cdr:y>
    </cdr:from>
    <cdr:to>
      <cdr:x>0.67679</cdr:x>
      <cdr:y>0.4752</cdr:y>
    </cdr:to>
    <cdr:cxnSp macro="">
      <cdr:nvCxnSpPr>
        <cdr:cNvPr id="21" name="Straight Arrow Connector 20"/>
        <cdr:cNvCxnSpPr/>
      </cdr:nvCxnSpPr>
      <cdr:spPr>
        <a:xfrm xmlns:a="http://schemas.openxmlformats.org/drawingml/2006/main" flipH="1">
          <a:off x="2879726" y="1304925"/>
          <a:ext cx="730249" cy="317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0.00543</cdr:x>
      <cdr:y>0.89583</cdr:y>
    </cdr:from>
    <cdr:to>
      <cdr:x>0.14647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576" y="2457451"/>
          <a:ext cx="74295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Pulse.xls</a:t>
          </a:r>
        </a:p>
      </cdr:txBody>
    </cdr:sp>
  </cdr:relSizeAnchor>
  <cdr:relSizeAnchor xmlns:cdr="http://schemas.openxmlformats.org/drawingml/2006/chartDrawing">
    <cdr:from>
      <cdr:x>0.69626</cdr:x>
      <cdr:y>0</cdr:y>
    </cdr:from>
    <cdr:to>
      <cdr:x>1</cdr:x>
      <cdr:y>0.15664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71900" y="0"/>
          <a:ext cx="1645443" cy="42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/>
            <a:t>OLS  of Height </a:t>
          </a:r>
        </a:p>
        <a:p xmlns:a="http://schemas.openxmlformats.org/drawingml/2006/main">
          <a:pPr algn="r"/>
          <a:r>
            <a:rPr lang="en-US" sz="1100"/>
            <a:t>by Gender</a:t>
          </a:r>
        </a:p>
      </cdr:txBody>
    </cdr:sp>
  </cdr:relSizeAnchor>
  <cdr:relSizeAnchor xmlns:cdr="http://schemas.openxmlformats.org/drawingml/2006/chartDrawing">
    <cdr:from>
      <cdr:x>0.88427</cdr:x>
      <cdr:y>0.89583</cdr:y>
    </cdr:from>
    <cdr:to>
      <cdr:x>1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657725" y="2457451"/>
          <a:ext cx="6096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Schield</a:t>
          </a:r>
        </a:p>
      </cdr:txBody>
    </cdr:sp>
  </cdr:relSizeAnchor>
  <cdr:relSizeAnchor xmlns:cdr="http://schemas.openxmlformats.org/drawingml/2006/chartDrawing">
    <cdr:from>
      <cdr:x>0.00539</cdr:x>
      <cdr:y>0.00631</cdr:y>
    </cdr:from>
    <cdr:to>
      <cdr:x>0.16031</cdr:x>
      <cdr:y>0.11047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469" y="17362"/>
          <a:ext cx="817663" cy="28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Excel</a:t>
          </a:r>
          <a:r>
            <a:rPr lang="en-US" sz="1100" baseline="0"/>
            <a:t> 2013</a:t>
          </a:r>
          <a:endParaRPr lang="en-US" sz="1100"/>
        </a:p>
      </cdr:txBody>
    </cdr:sp>
  </cdr:relSizeAnchor>
  <cdr:relSizeAnchor xmlns:cdr="http://schemas.openxmlformats.org/drawingml/2006/chartDrawing">
    <cdr:from>
      <cdr:x>0.48238</cdr:x>
      <cdr:y>0.67134</cdr:y>
    </cdr:from>
    <cdr:to>
      <cdr:x>0.6373</cdr:x>
      <cdr:y>0.75303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646508" y="1841626"/>
          <a:ext cx="849953" cy="224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Women</a:t>
          </a:r>
        </a:p>
      </cdr:txBody>
    </cdr:sp>
  </cdr:relSizeAnchor>
  <cdr:relSizeAnchor xmlns:cdr="http://schemas.openxmlformats.org/drawingml/2006/chartDrawing">
    <cdr:from>
      <cdr:x>0.58808</cdr:x>
      <cdr:y>0.1795</cdr:y>
    </cdr:from>
    <cdr:to>
      <cdr:x>0.743</cdr:x>
      <cdr:y>0.26118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096232" y="492395"/>
          <a:ext cx="815645" cy="224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Men</a:t>
          </a:r>
        </a:p>
      </cdr:txBody>
    </cdr:sp>
  </cdr:relSizeAnchor>
  <cdr:relSizeAnchor xmlns:cdr="http://schemas.openxmlformats.org/drawingml/2006/chartDrawing">
    <cdr:from>
      <cdr:x>0.73227</cdr:x>
      <cdr:y>0.28509</cdr:y>
    </cdr:from>
    <cdr:to>
      <cdr:x>0.97856</cdr:x>
      <cdr:y>0.43802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3864909" y="784785"/>
          <a:ext cx="1299883" cy="420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Height of Men 70.75"</a:t>
          </a:r>
        </a:p>
      </cdr:txBody>
    </cdr:sp>
  </cdr:relSizeAnchor>
  <cdr:relSizeAnchor xmlns:cdr="http://schemas.openxmlformats.org/drawingml/2006/chartDrawing">
    <cdr:from>
      <cdr:x>0.69792</cdr:x>
      <cdr:y>0.19791</cdr:y>
    </cdr:from>
    <cdr:to>
      <cdr:x>0.73264</cdr:x>
      <cdr:y>0.28819</cdr:y>
    </cdr:to>
    <cdr:cxnSp macro="">
      <cdr:nvCxnSpPr>
        <cdr:cNvPr id="25" name="Straight Arrow Connector 24"/>
        <cdr:cNvCxnSpPr/>
      </cdr:nvCxnSpPr>
      <cdr:spPr>
        <a:xfrm xmlns:a="http://schemas.openxmlformats.org/drawingml/2006/main" flipH="1" flipV="1">
          <a:off x="3829062" y="542919"/>
          <a:ext cx="190488" cy="247656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0.21275</cdr:x>
      <cdr:y>0.39118</cdr:y>
    </cdr:from>
    <cdr:to>
      <cdr:x>0.42323</cdr:x>
      <cdr:y>0.54411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1152525" y="1073076"/>
          <a:ext cx="1140231" cy="419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Height of Women 65.40"</a:t>
          </a:r>
        </a:p>
      </cdr:txBody>
    </cdr:sp>
  </cdr:relSizeAnchor>
  <cdr:relSizeAnchor xmlns:cdr="http://schemas.openxmlformats.org/drawingml/2006/chartDrawing">
    <cdr:from>
      <cdr:x>0.31483</cdr:x>
      <cdr:y>0.53165</cdr:y>
    </cdr:from>
    <cdr:to>
      <cdr:x>0.40451</cdr:x>
      <cdr:y>0.73958</cdr:y>
    </cdr:to>
    <cdr:cxnSp macro="">
      <cdr:nvCxnSpPr>
        <cdr:cNvPr id="30" name="Straight Arrow Connector 29"/>
        <cdr:cNvCxnSpPr/>
      </cdr:nvCxnSpPr>
      <cdr:spPr>
        <a:xfrm xmlns:a="http://schemas.openxmlformats.org/drawingml/2006/main">
          <a:off x="1727283" y="1458422"/>
          <a:ext cx="492043" cy="570403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0.6316</cdr:x>
      <cdr:y>0.47685</cdr:y>
    </cdr:from>
    <cdr:to>
      <cdr:x>0.91319</cdr:x>
      <cdr:y>0.63542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465187" y="1308100"/>
          <a:ext cx="1544964" cy="434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Ave Ht of All:</a:t>
          </a:r>
          <a:r>
            <a:rPr lang="en-US" sz="1100" baseline="0"/>
            <a:t> 68.72"</a:t>
          </a:r>
        </a:p>
        <a:p xmlns:a="http://schemas.openxmlformats.org/drawingml/2006/main">
          <a:r>
            <a:rPr lang="en-US" sz="1100" baseline="0"/>
            <a:t>62% are men</a:t>
          </a:r>
          <a:endParaRPr lang="en-US" sz="1100"/>
        </a:p>
      </cdr:txBody>
    </cdr:sp>
  </cdr:relSizeAnchor>
  <cdr:relSizeAnchor xmlns:cdr="http://schemas.openxmlformats.org/drawingml/2006/chartDrawing">
    <cdr:from>
      <cdr:x>0.57176</cdr:x>
      <cdr:y>0.3831</cdr:y>
    </cdr:from>
    <cdr:to>
      <cdr:x>0.5903</cdr:x>
      <cdr:y>0.41772</cdr:y>
    </cdr:to>
    <cdr:sp macro="" textlink="">
      <cdr:nvSpPr>
        <cdr:cNvPr id="18" name="Oval 17"/>
        <cdr:cNvSpPr/>
      </cdr:nvSpPr>
      <cdr:spPr>
        <a:xfrm xmlns:a="http://schemas.openxmlformats.org/drawingml/2006/main">
          <a:off x="3136916" y="1050929"/>
          <a:ext cx="101718" cy="9497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0.59722</cdr:x>
      <cdr:y>0.42014</cdr:y>
    </cdr:from>
    <cdr:to>
      <cdr:x>0.64236</cdr:x>
      <cdr:y>0.5</cdr:y>
    </cdr:to>
    <cdr:cxnSp macro="">
      <cdr:nvCxnSpPr>
        <cdr:cNvPr id="20" name="Straight Arrow Connector 19"/>
        <cdr:cNvCxnSpPr/>
      </cdr:nvCxnSpPr>
      <cdr:spPr>
        <a:xfrm xmlns:a="http://schemas.openxmlformats.org/drawingml/2006/main" flipH="1" flipV="1">
          <a:off x="3276601" y="1152525"/>
          <a:ext cx="247643" cy="21907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2"/>
  <sheetViews>
    <sheetView tabSelected="1" zoomScaleNormal="100" workbookViewId="0"/>
  </sheetViews>
  <sheetFormatPr defaultRowHeight="12.75" x14ac:dyDescent="0.2"/>
  <cols>
    <col min="1" max="1" width="6.85546875" style="1" customWidth="1"/>
    <col min="2" max="2" width="4.5703125" style="1" customWidth="1"/>
    <col min="3" max="3" width="2.85546875" customWidth="1"/>
    <col min="4" max="4" width="9.7109375" style="1" customWidth="1"/>
    <col min="5" max="5" width="9.85546875" style="1" customWidth="1"/>
    <col min="6" max="6" width="9.140625" style="1" customWidth="1"/>
    <col min="7" max="7" width="12.28515625" style="1" customWidth="1"/>
    <col min="8" max="8" width="6" style="1" customWidth="1"/>
    <col min="9" max="9" width="6.42578125" style="36" customWidth="1"/>
    <col min="10" max="10" width="7" style="1" customWidth="1"/>
    <col min="11" max="11" width="5.28515625" style="1" customWidth="1"/>
    <col min="12" max="12" width="7.85546875" style="8" customWidth="1"/>
    <col min="13" max="13" width="3.140625" style="8" customWidth="1"/>
    <col min="14" max="14" width="5.85546875" style="1" customWidth="1"/>
    <col min="15" max="15" width="5.7109375" style="1" customWidth="1"/>
    <col min="16" max="16" width="2.42578125" style="1" customWidth="1"/>
    <col min="17" max="17" width="6.7109375" style="1" customWidth="1"/>
    <col min="18" max="18" width="6" style="1" customWidth="1"/>
    <col min="19" max="19" width="7.7109375" style="1" customWidth="1"/>
    <col min="20" max="25" width="9.140625" customWidth="1"/>
    <col min="27" max="27" width="11.140625" customWidth="1"/>
    <col min="28" max="28" width="6.85546875" customWidth="1"/>
    <col min="29" max="29" width="10.85546875" customWidth="1"/>
    <col min="30" max="30" width="9.7109375" customWidth="1"/>
    <col min="31" max="31" width="12.5703125" customWidth="1"/>
    <col min="32" max="33" width="9.140625" customWidth="1"/>
    <col min="35" max="35" width="11.42578125" bestFit="1" customWidth="1"/>
    <col min="43" max="43" width="5.42578125" customWidth="1"/>
    <col min="52" max="52" width="9.140625" style="41"/>
  </cols>
  <sheetData>
    <row r="1" spans="1:53" ht="13.5" thickBot="1" x14ac:dyDescent="0.25">
      <c r="A1" s="5" t="s">
        <v>105</v>
      </c>
      <c r="B1" s="5" t="s">
        <v>33</v>
      </c>
      <c r="C1" s="6" t="s">
        <v>106</v>
      </c>
      <c r="D1" s="5" t="s">
        <v>75</v>
      </c>
      <c r="E1" s="5" t="s">
        <v>76</v>
      </c>
      <c r="F1" s="5" t="s">
        <v>77</v>
      </c>
      <c r="G1" s="5" t="s">
        <v>78</v>
      </c>
      <c r="H1" s="5" t="s">
        <v>107</v>
      </c>
      <c r="I1" s="37" t="s">
        <v>108</v>
      </c>
      <c r="J1" s="5" t="s">
        <v>109</v>
      </c>
      <c r="K1" s="5" t="s">
        <v>110</v>
      </c>
      <c r="L1" s="10" t="s">
        <v>121</v>
      </c>
      <c r="M1" s="10" t="s">
        <v>129</v>
      </c>
      <c r="N1" s="5" t="s">
        <v>111</v>
      </c>
      <c r="O1" s="5" t="s">
        <v>112</v>
      </c>
      <c r="P1" s="72" t="s">
        <v>113</v>
      </c>
      <c r="Q1" s="5" t="s">
        <v>114</v>
      </c>
      <c r="R1" s="5" t="s">
        <v>115</v>
      </c>
      <c r="S1" s="5" t="s">
        <v>116</v>
      </c>
      <c r="T1" s="5" t="s">
        <v>117</v>
      </c>
      <c r="U1" s="5" t="s">
        <v>118</v>
      </c>
      <c r="V1" s="5" t="s">
        <v>119</v>
      </c>
      <c r="W1" s="5" t="s">
        <v>120</v>
      </c>
      <c r="X1" s="5" t="s">
        <v>31</v>
      </c>
      <c r="Y1" s="5" t="s">
        <v>32</v>
      </c>
      <c r="AH1" s="26"/>
      <c r="AI1" s="26"/>
      <c r="AM1" s="6"/>
      <c r="AN1" s="6"/>
      <c r="AR1" s="11"/>
      <c r="AS1" s="11" t="s">
        <v>1</v>
      </c>
      <c r="AT1" s="11" t="s">
        <v>26</v>
      </c>
      <c r="AU1" s="21" t="s">
        <v>82</v>
      </c>
      <c r="AV1" s="21" t="s">
        <v>83</v>
      </c>
      <c r="AW1" s="11" t="s">
        <v>85</v>
      </c>
      <c r="AY1" s="11" t="s">
        <v>17</v>
      </c>
      <c r="AZ1" s="35" t="s">
        <v>18</v>
      </c>
      <c r="BA1" s="11" t="s">
        <v>19</v>
      </c>
    </row>
    <row r="2" spans="1:53" ht="14.25" thickTop="1" thickBot="1" x14ac:dyDescent="0.25">
      <c r="A2" s="11" t="s">
        <v>2</v>
      </c>
      <c r="B2" s="11" t="s">
        <v>26</v>
      </c>
      <c r="D2" s="12" t="s">
        <v>15</v>
      </c>
      <c r="E2" s="12" t="s">
        <v>16</v>
      </c>
      <c r="G2" s="26"/>
      <c r="H2" s="11" t="s">
        <v>17</v>
      </c>
      <c r="I2" s="35" t="s">
        <v>18</v>
      </c>
      <c r="J2" s="11" t="s">
        <v>40</v>
      </c>
      <c r="K2" s="11" t="s">
        <v>41</v>
      </c>
      <c r="L2" s="9" t="s">
        <v>42</v>
      </c>
      <c r="M2" s="44">
        <v>2</v>
      </c>
      <c r="N2" s="5" t="s">
        <v>94</v>
      </c>
      <c r="O2" s="5" t="s">
        <v>93</v>
      </c>
      <c r="P2" s="73"/>
      <c r="Q2" s="42" t="s">
        <v>131</v>
      </c>
      <c r="S2" s="5" t="s">
        <v>122</v>
      </c>
      <c r="T2" s="14" t="s">
        <v>99</v>
      </c>
      <c r="U2" s="1"/>
      <c r="AH2" s="27"/>
      <c r="AI2" s="27"/>
      <c r="AK2" s="4"/>
      <c r="AL2" s="6"/>
      <c r="AR2" s="11"/>
      <c r="AS2" s="1">
        <v>61</v>
      </c>
      <c r="AT2" s="1">
        <v>0</v>
      </c>
      <c r="AU2" s="27">
        <f>SUM(AT$2:AT2)/COUNTA(AS$2:AS2)</f>
        <v>0</v>
      </c>
      <c r="AV2" s="27">
        <f>AU2/AU$93</f>
        <v>0</v>
      </c>
      <c r="AW2" s="27">
        <v>0</v>
      </c>
      <c r="AY2" s="13">
        <f t="shared" ref="AY2:AY65" si="0">D$3+E$3*AS2</f>
        <v>-5.1011659645415648</v>
      </c>
      <c r="AZ2" s="36">
        <f t="shared" ref="AZ2:AZ65" si="1">EXP(AY2)</f>
        <v>6.0896421177732748E-3</v>
      </c>
      <c r="BA2" s="23">
        <f t="shared" ref="BA2:BA65" si="2">AZ2/(1+AZ2)</f>
        <v>6.0527828364824966E-3</v>
      </c>
    </row>
    <row r="3" spans="1:53" ht="14.25" thickTop="1" thickBot="1" x14ac:dyDescent="0.25">
      <c r="A3" s="1">
        <v>68</v>
      </c>
      <c r="B3" s="1">
        <v>1</v>
      </c>
      <c r="D3" s="16">
        <v>-53.322733146868785</v>
      </c>
      <c r="E3" s="30">
        <v>0.79051749479224953</v>
      </c>
      <c r="F3" s="55">
        <v>1</v>
      </c>
      <c r="G3" s="54" t="s">
        <v>86</v>
      </c>
      <c r="H3" s="8">
        <f t="shared" ref="H3:H66" si="3">D$3+E$3*A3</f>
        <v>0.43245649900418215</v>
      </c>
      <c r="I3" s="39">
        <f t="shared" ref="I3:I66" si="4">EXP(H3)</f>
        <v>1.5410384371279797</v>
      </c>
      <c r="J3" s="8">
        <f t="shared" ref="J3:J66" si="5">I3/(1+I3)</f>
        <v>0.6064601048970143</v>
      </c>
      <c r="K3" s="8">
        <f t="shared" ref="K3:K66" si="6">IF(B3=1,J3,1-J3)</f>
        <v>0.6064601048970143</v>
      </c>
      <c r="L3" s="10">
        <f>LN(K3)</f>
        <v>-0.50011633199156535</v>
      </c>
      <c r="M3" s="44">
        <f>M2+1</f>
        <v>3</v>
      </c>
      <c r="N3" s="1" t="str">
        <f t="shared" ref="N3:N66" si="7">IF($B3=1,"",$A3)</f>
        <v/>
      </c>
      <c r="O3" s="1">
        <f t="shared" ref="O3:O66" si="8">IF($B3=1,$A3,"")</f>
        <v>68</v>
      </c>
      <c r="P3" s="74"/>
      <c r="S3" s="5" t="s">
        <v>123</v>
      </c>
      <c r="T3" s="14" t="s">
        <v>103</v>
      </c>
      <c r="U3" s="1"/>
      <c r="AH3" s="27"/>
      <c r="AI3" s="27"/>
      <c r="AK3" s="4"/>
      <c r="AL3" s="6"/>
      <c r="AR3" s="11"/>
      <c r="AS3" s="1">
        <v>61.75</v>
      </c>
      <c r="AT3" s="1">
        <v>0</v>
      </c>
      <c r="AU3" s="27">
        <f>SUM(AT$2:AT3)/COUNTA(AS$2:AS3)</f>
        <v>0</v>
      </c>
      <c r="AV3" s="27">
        <f t="shared" ref="AV3:AV66" si="9">AU3/AU$93</f>
        <v>0</v>
      </c>
      <c r="AW3" s="27">
        <v>0</v>
      </c>
      <c r="AY3" s="13">
        <f t="shared" si="0"/>
        <v>-4.5082778434473738</v>
      </c>
      <c r="AZ3" s="36">
        <f t="shared" si="1"/>
        <v>1.1017417565178251E-2</v>
      </c>
      <c r="BA3" s="23">
        <f t="shared" si="2"/>
        <v>1.0897356834574989E-2</v>
      </c>
    </row>
    <row r="4" spans="1:53" ht="13.5" thickTop="1" x14ac:dyDescent="0.2">
      <c r="A4" s="1">
        <v>69</v>
      </c>
      <c r="B4" s="1">
        <v>1</v>
      </c>
      <c r="H4" s="8">
        <f t="shared" si="3"/>
        <v>1.2229739937964297</v>
      </c>
      <c r="I4" s="39">
        <f t="shared" si="4"/>
        <v>3.397276203015426</v>
      </c>
      <c r="J4" s="8">
        <f t="shared" si="5"/>
        <v>0.77258649358567655</v>
      </c>
      <c r="K4" s="8">
        <f t="shared" si="6"/>
        <v>0.77258649358567655</v>
      </c>
      <c r="L4" s="10">
        <f t="shared" ref="L4:L67" si="10">LN(K4)</f>
        <v>-0.25801131067123856</v>
      </c>
      <c r="M4" s="44">
        <f t="shared" ref="M4:M67" si="11">M3+1</f>
        <v>4</v>
      </c>
      <c r="N4" s="1" t="str">
        <f t="shared" si="7"/>
        <v/>
      </c>
      <c r="O4" s="1">
        <f t="shared" si="8"/>
        <v>69</v>
      </c>
      <c r="P4" s="73"/>
      <c r="S4" s="5" t="s">
        <v>124</v>
      </c>
      <c r="T4" s="14" t="s">
        <v>104</v>
      </c>
      <c r="U4" s="1"/>
      <c r="AH4" s="27"/>
      <c r="AI4" s="27"/>
      <c r="AR4" s="11"/>
      <c r="AS4" s="1">
        <v>62</v>
      </c>
      <c r="AT4" s="5">
        <v>0</v>
      </c>
      <c r="AU4" s="27">
        <f>SUM(AT$2:AT4)/COUNTA(AS$2:AS4)</f>
        <v>0</v>
      </c>
      <c r="AV4" s="27">
        <f t="shared" si="9"/>
        <v>0</v>
      </c>
      <c r="AW4" s="27">
        <v>0</v>
      </c>
      <c r="AY4" s="13">
        <f t="shared" si="0"/>
        <v>-4.3106484697493173</v>
      </c>
      <c r="AZ4" s="36">
        <f t="shared" si="1"/>
        <v>1.342484116758828E-2</v>
      </c>
      <c r="BA4" s="23">
        <f t="shared" si="2"/>
        <v>1.3247002266217625E-2</v>
      </c>
    </row>
    <row r="5" spans="1:53" ht="13.5" thickBot="1" x14ac:dyDescent="0.25">
      <c r="A5" s="1">
        <v>69</v>
      </c>
      <c r="B5" s="1">
        <v>1</v>
      </c>
      <c r="D5" s="54" t="s">
        <v>22</v>
      </c>
      <c r="E5" s="17">
        <f>SUM(L3:L94)</f>
        <v>-30.549061525157377</v>
      </c>
      <c r="F5" s="20" t="str">
        <f ca="1">_xlfn.FORMULATEXT(E5)</f>
        <v>=SUM(L3:L94)</v>
      </c>
      <c r="G5" s="18"/>
      <c r="H5" s="8">
        <f t="shared" si="3"/>
        <v>1.2229739937964297</v>
      </c>
      <c r="I5" s="39">
        <f t="shared" si="4"/>
        <v>3.397276203015426</v>
      </c>
      <c r="J5" s="8">
        <f t="shared" si="5"/>
        <v>0.77258649358567655</v>
      </c>
      <c r="K5" s="8">
        <f t="shared" si="6"/>
        <v>0.77258649358567655</v>
      </c>
      <c r="L5" s="10">
        <f t="shared" si="10"/>
        <v>-0.25801131067123856</v>
      </c>
      <c r="M5" s="44">
        <f t="shared" si="11"/>
        <v>5</v>
      </c>
      <c r="N5" s="1" t="str">
        <f t="shared" si="7"/>
        <v/>
      </c>
      <c r="O5" s="1">
        <f t="shared" si="8"/>
        <v>69</v>
      </c>
      <c r="P5" s="73"/>
      <c r="S5" s="5" t="s">
        <v>125</v>
      </c>
      <c r="T5" s="14" t="s">
        <v>100</v>
      </c>
      <c r="U5" s="1"/>
      <c r="AH5" s="27"/>
      <c r="AI5" s="27"/>
      <c r="AR5" s="1"/>
      <c r="AS5" s="1">
        <v>62</v>
      </c>
      <c r="AT5" s="1">
        <v>0</v>
      </c>
      <c r="AU5" s="27">
        <f>SUM(AT$2:AT5)/COUNTA(AS$2:AS5)</f>
        <v>0</v>
      </c>
      <c r="AV5" s="27">
        <f t="shared" si="9"/>
        <v>0</v>
      </c>
      <c r="AW5" s="27">
        <v>0</v>
      </c>
      <c r="AY5" s="13">
        <f t="shared" si="0"/>
        <v>-4.3106484697493173</v>
      </c>
      <c r="AZ5" s="36">
        <f t="shared" si="1"/>
        <v>1.342484116758828E-2</v>
      </c>
      <c r="BA5" s="23">
        <f t="shared" si="2"/>
        <v>1.3247002266217625E-2</v>
      </c>
    </row>
    <row r="6" spans="1:53" x14ac:dyDescent="0.2">
      <c r="A6" s="1">
        <v>72</v>
      </c>
      <c r="B6" s="1">
        <v>1</v>
      </c>
      <c r="D6" s="5" t="s">
        <v>21</v>
      </c>
      <c r="E6" s="58">
        <v>-63.82</v>
      </c>
      <c r="F6" s="13" t="s">
        <v>30</v>
      </c>
      <c r="H6" s="8">
        <f t="shared" si="3"/>
        <v>3.5945264781731794</v>
      </c>
      <c r="I6" s="39">
        <f t="shared" si="4"/>
        <v>36.398460441068814</v>
      </c>
      <c r="J6" s="8">
        <f t="shared" si="5"/>
        <v>0.97326093138043035</v>
      </c>
      <c r="K6" s="8">
        <f t="shared" si="6"/>
        <v>0.97326093138043035</v>
      </c>
      <c r="L6" s="10">
        <f t="shared" si="10"/>
        <v>-2.7103060722713894E-2</v>
      </c>
      <c r="M6" s="44">
        <f t="shared" si="11"/>
        <v>6</v>
      </c>
      <c r="N6" s="1" t="str">
        <f t="shared" si="7"/>
        <v/>
      </c>
      <c r="O6" s="1">
        <f t="shared" si="8"/>
        <v>72</v>
      </c>
      <c r="P6" s="73"/>
      <c r="S6" s="5" t="s">
        <v>126</v>
      </c>
      <c r="T6" s="14" t="s">
        <v>132</v>
      </c>
      <c r="U6" s="1"/>
      <c r="AH6" s="27"/>
      <c r="AI6" s="27"/>
      <c r="AR6" s="1"/>
      <c r="AS6" s="1">
        <v>62</v>
      </c>
      <c r="AT6" s="1">
        <v>0</v>
      </c>
      <c r="AU6" s="27">
        <f>SUM(AT$2:AT6)/COUNTA(AS$2:AS6)</f>
        <v>0</v>
      </c>
      <c r="AV6" s="27">
        <f t="shared" si="9"/>
        <v>0</v>
      </c>
      <c r="AW6" s="27">
        <v>0</v>
      </c>
      <c r="AY6" s="13">
        <f t="shared" si="0"/>
        <v>-4.3106484697493173</v>
      </c>
      <c r="AZ6" s="36">
        <f t="shared" si="1"/>
        <v>1.342484116758828E-2</v>
      </c>
      <c r="BA6" s="23">
        <f t="shared" si="2"/>
        <v>1.3247002266217625E-2</v>
      </c>
    </row>
    <row r="7" spans="1:53" x14ac:dyDescent="0.2">
      <c r="A7" s="1">
        <v>66</v>
      </c>
      <c r="B7" s="1">
        <v>1</v>
      </c>
      <c r="D7" s="5" t="s">
        <v>15</v>
      </c>
      <c r="E7" s="59">
        <v>-61.11</v>
      </c>
      <c r="F7" s="8">
        <f>-2*E7</f>
        <v>122.22</v>
      </c>
      <c r="G7" s="8"/>
      <c r="H7" s="8">
        <f t="shared" si="3"/>
        <v>-1.1485784905803129</v>
      </c>
      <c r="I7" s="39">
        <f t="shared" si="4"/>
        <v>0.31708719159320803</v>
      </c>
      <c r="J7" s="8">
        <f t="shared" si="5"/>
        <v>0.24074882332554237</v>
      </c>
      <c r="K7" s="8">
        <f t="shared" si="6"/>
        <v>0.24074882332554237</v>
      </c>
      <c r="L7" s="10">
        <f t="shared" si="10"/>
        <v>-1.4240011158525341</v>
      </c>
      <c r="M7" s="44">
        <f t="shared" si="11"/>
        <v>7</v>
      </c>
      <c r="N7" s="1" t="str">
        <f t="shared" si="7"/>
        <v/>
      </c>
      <c r="O7" s="1">
        <f t="shared" si="8"/>
        <v>66</v>
      </c>
      <c r="P7" s="73"/>
      <c r="S7" s="5" t="s">
        <v>127</v>
      </c>
      <c r="T7" s="14" t="s">
        <v>102</v>
      </c>
      <c r="U7" s="1"/>
      <c r="Z7" s="8"/>
      <c r="AA7" s="8"/>
      <c r="AH7" s="27"/>
      <c r="AI7" s="27"/>
      <c r="AR7" s="1"/>
      <c r="AS7" s="1">
        <v>62</v>
      </c>
      <c r="AT7" s="1">
        <v>0</v>
      </c>
      <c r="AU7" s="27">
        <f>SUM(AT$2:AT7)/COUNTA(AS$2:AS7)</f>
        <v>0</v>
      </c>
      <c r="AV7" s="27">
        <f t="shared" si="9"/>
        <v>0</v>
      </c>
      <c r="AW7" s="27">
        <v>0</v>
      </c>
      <c r="AY7" s="13">
        <f t="shared" si="0"/>
        <v>-4.3106484697493173</v>
      </c>
      <c r="AZ7" s="36">
        <f t="shared" si="1"/>
        <v>1.342484116758828E-2</v>
      </c>
      <c r="BA7" s="23">
        <f t="shared" si="2"/>
        <v>1.3247002266217625E-2</v>
      </c>
    </row>
    <row r="8" spans="1:53" ht="13.5" thickBot="1" x14ac:dyDescent="0.25">
      <c r="A8" s="1">
        <v>67</v>
      </c>
      <c r="B8" s="5">
        <v>0</v>
      </c>
      <c r="D8" s="5" t="s">
        <v>20</v>
      </c>
      <c r="E8" s="60">
        <v>-30.549061525157377</v>
      </c>
      <c r="F8" s="8">
        <f>-2*E8</f>
        <v>61.098123050314754</v>
      </c>
      <c r="H8" s="8">
        <f t="shared" si="3"/>
        <v>-0.35806099578806538</v>
      </c>
      <c r="I8" s="39">
        <f t="shared" si="4"/>
        <v>0.69903043579381974</v>
      </c>
      <c r="J8" s="8">
        <f t="shared" si="5"/>
        <v>0.41142902508819346</v>
      </c>
      <c r="K8" s="8">
        <f t="shared" si="6"/>
        <v>0.58857097491180654</v>
      </c>
      <c r="L8" s="10">
        <f t="shared" si="10"/>
        <v>-0.53005775647508657</v>
      </c>
      <c r="M8" s="44">
        <f t="shared" si="11"/>
        <v>8</v>
      </c>
      <c r="N8" s="1">
        <f t="shared" si="7"/>
        <v>67</v>
      </c>
      <c r="O8" s="1" t="str">
        <f t="shared" si="8"/>
        <v/>
      </c>
      <c r="P8" s="73"/>
      <c r="S8" s="5" t="s">
        <v>128</v>
      </c>
      <c r="T8" s="14" t="s">
        <v>101</v>
      </c>
      <c r="U8" s="1"/>
      <c r="Z8" s="8"/>
      <c r="AA8" s="9"/>
      <c r="AF8" s="25"/>
      <c r="AG8" s="6"/>
      <c r="AH8" s="27"/>
      <c r="AI8" s="27"/>
      <c r="AK8" s="6"/>
      <c r="AR8" s="1"/>
      <c r="AS8" s="1">
        <v>62.75</v>
      </c>
      <c r="AT8" s="1">
        <v>0</v>
      </c>
      <c r="AU8" s="27">
        <f>SUM(AT$2:AT8)/COUNTA(AS$2:AS8)</f>
        <v>0</v>
      </c>
      <c r="AV8" s="27">
        <f t="shared" si="9"/>
        <v>0</v>
      </c>
      <c r="AW8" s="27">
        <v>0</v>
      </c>
      <c r="AY8" s="13">
        <f t="shared" si="0"/>
        <v>-3.7177603486551263</v>
      </c>
      <c r="AZ8" s="36">
        <f t="shared" si="1"/>
        <v>2.4288304309022121E-2</v>
      </c>
      <c r="BA8" s="23">
        <f t="shared" si="2"/>
        <v>2.3712371025662395E-2</v>
      </c>
    </row>
    <row r="9" spans="1:53" x14ac:dyDescent="0.2">
      <c r="A9" s="1">
        <v>71</v>
      </c>
      <c r="B9" s="1">
        <v>1</v>
      </c>
      <c r="D9" s="5" t="s">
        <v>29</v>
      </c>
      <c r="E9" s="24" t="str">
        <f t="shared" ref="E9" ca="1" si="12">_xlfn.FORMULATEXT(F9)</f>
        <v>=F7-F8</v>
      </c>
      <c r="F9" s="8">
        <f>F7-F8</f>
        <v>61.121876949685245</v>
      </c>
      <c r="H9" s="8">
        <f t="shared" si="3"/>
        <v>2.8040089833809319</v>
      </c>
      <c r="I9" s="39">
        <f t="shared" si="4"/>
        <v>16.510705412230681</v>
      </c>
      <c r="J9" s="8">
        <f t="shared" si="5"/>
        <v>0.94289207793413443</v>
      </c>
      <c r="K9" s="8">
        <f t="shared" si="6"/>
        <v>0.94289207793413443</v>
      </c>
      <c r="L9" s="10">
        <f t="shared" si="10"/>
        <v>-5.8803448354969971E-2</v>
      </c>
      <c r="M9" s="44">
        <f t="shared" si="11"/>
        <v>9</v>
      </c>
      <c r="N9" s="1" t="str">
        <f t="shared" si="7"/>
        <v/>
      </c>
      <c r="O9" s="1">
        <f t="shared" si="8"/>
        <v>71</v>
      </c>
      <c r="P9" s="74"/>
      <c r="T9" s="77" t="s">
        <v>134</v>
      </c>
      <c r="U9" s="78"/>
      <c r="V9" s="78"/>
      <c r="W9" s="77" t="s">
        <v>133</v>
      </c>
      <c r="X9" s="78"/>
      <c r="Z9" s="8"/>
      <c r="AG9" s="7"/>
      <c r="AH9" s="27"/>
      <c r="AI9" s="27"/>
      <c r="AK9" s="6"/>
      <c r="AR9" s="1"/>
      <c r="AS9" s="1">
        <v>63</v>
      </c>
      <c r="AT9" s="1">
        <v>0</v>
      </c>
      <c r="AU9" s="27">
        <f>SUM(AT$2:AT9)/COUNTA(AS$2:AS9)</f>
        <v>0</v>
      </c>
      <c r="AV9" s="27">
        <f t="shared" si="9"/>
        <v>0</v>
      </c>
      <c r="AW9" s="27">
        <v>0</v>
      </c>
      <c r="AY9" s="13">
        <f t="shared" si="0"/>
        <v>-3.5201309749570626</v>
      </c>
      <c r="AZ9" s="36">
        <f t="shared" si="1"/>
        <v>2.9595558637011583E-2</v>
      </c>
      <c r="BA9" s="23">
        <f t="shared" si="2"/>
        <v>2.8744839066895806E-2</v>
      </c>
    </row>
    <row r="10" spans="1:53" ht="13.5" thickBot="1" x14ac:dyDescent="0.25">
      <c r="A10" s="1">
        <v>71</v>
      </c>
      <c r="B10" s="1">
        <v>1</v>
      </c>
      <c r="E10" s="24" t="str">
        <f ca="1">_xlfn.FORMULATEXT(F10)</f>
        <v>=CHISQ.DIST.RT(F9,F3)</v>
      </c>
      <c r="F10" s="5">
        <f>_xlfn.CHISQ.DIST.RT(F9,F3)</f>
        <v>5.3648669282775661E-15</v>
      </c>
      <c r="H10" s="8">
        <f t="shared" si="3"/>
        <v>2.8040089833809319</v>
      </c>
      <c r="I10" s="39">
        <f t="shared" si="4"/>
        <v>16.510705412230681</v>
      </c>
      <c r="J10" s="8">
        <f t="shared" si="5"/>
        <v>0.94289207793413443</v>
      </c>
      <c r="K10" s="8">
        <f t="shared" si="6"/>
        <v>0.94289207793413443</v>
      </c>
      <c r="L10" s="10">
        <f t="shared" si="10"/>
        <v>-5.8803448354969971E-2</v>
      </c>
      <c r="M10" s="44">
        <f t="shared" si="11"/>
        <v>10</v>
      </c>
      <c r="N10" s="1" t="str">
        <f t="shared" si="7"/>
        <v/>
      </c>
      <c r="O10" s="1">
        <f t="shared" si="8"/>
        <v>71</v>
      </c>
      <c r="P10" s="73"/>
      <c r="Q10" s="11" t="s">
        <v>53</v>
      </c>
      <c r="R10" s="11" t="s">
        <v>17</v>
      </c>
      <c r="S10" s="11" t="s">
        <v>18</v>
      </c>
      <c r="T10" s="11" t="s">
        <v>19</v>
      </c>
      <c r="U10" s="5" t="s">
        <v>60</v>
      </c>
      <c r="V10" s="5" t="s">
        <v>63</v>
      </c>
      <c r="W10" s="5" t="s">
        <v>39</v>
      </c>
      <c r="X10" s="14" t="s">
        <v>84</v>
      </c>
      <c r="Z10" s="8"/>
      <c r="AH10" s="27"/>
      <c r="AI10" s="27"/>
      <c r="AR10" s="1"/>
      <c r="AS10" s="1">
        <v>63</v>
      </c>
      <c r="AT10" s="1">
        <v>0</v>
      </c>
      <c r="AU10" s="27">
        <f>SUM(AT$2:AT10)/COUNTA(AS$2:AS10)</f>
        <v>0</v>
      </c>
      <c r="AV10" s="27">
        <f t="shared" si="9"/>
        <v>0</v>
      </c>
      <c r="AW10" s="27">
        <v>0</v>
      </c>
      <c r="AY10" s="13">
        <f t="shared" si="0"/>
        <v>-3.5201309749570626</v>
      </c>
      <c r="AZ10" s="36">
        <f t="shared" si="1"/>
        <v>2.9595558637011583E-2</v>
      </c>
      <c r="BA10" s="23">
        <f t="shared" si="2"/>
        <v>2.8744839066895806E-2</v>
      </c>
    </row>
    <row r="11" spans="1:53" ht="13.5" thickBot="1" x14ac:dyDescent="0.25">
      <c r="A11" s="1">
        <v>71.5</v>
      </c>
      <c r="B11" s="1">
        <v>1</v>
      </c>
      <c r="H11" s="8">
        <f t="shared" si="3"/>
        <v>3.1992677307770592</v>
      </c>
      <c r="I11" s="39">
        <f t="shared" si="4"/>
        <v>24.514572356074734</v>
      </c>
      <c r="J11" s="8">
        <f t="shared" si="5"/>
        <v>0.96080671131601736</v>
      </c>
      <c r="K11" s="8">
        <f t="shared" si="6"/>
        <v>0.96080671131601736</v>
      </c>
      <c r="L11" s="10">
        <f t="shared" si="10"/>
        <v>-3.9982023107518812E-2</v>
      </c>
      <c r="M11" s="44">
        <f t="shared" si="11"/>
        <v>11</v>
      </c>
      <c r="N11" s="1" t="str">
        <f t="shared" si="7"/>
        <v/>
      </c>
      <c r="O11" s="1">
        <f t="shared" si="8"/>
        <v>71.5</v>
      </c>
      <c r="P11" s="73"/>
      <c r="Q11" s="71">
        <v>58</v>
      </c>
      <c r="R11" s="13">
        <f t="shared" ref="R11:R51" si="13">D$3+E$3*Q11</f>
        <v>-7.4727184489183145</v>
      </c>
      <c r="S11" s="8">
        <f t="shared" ref="S11:S51" si="14">EXP(R11)</f>
        <v>5.6838107988350158E-4</v>
      </c>
      <c r="T11" s="23">
        <f t="shared" ref="T11:T51" si="15">S11/(1+S11)</f>
        <v>5.6805820634674153E-4</v>
      </c>
      <c r="U11" s="8">
        <f t="shared" ref="U11:U51" si="16">E$50+D$30*(Q11-E$61)</f>
        <v>-0.40165314505662153</v>
      </c>
      <c r="V11" s="8">
        <f t="shared" ref="V11:V51" si="17">E$50+D$42*(Q11-E$61)</f>
        <v>-1.3820445609436485</v>
      </c>
      <c r="W11" s="8">
        <f t="shared" ref="W11:W51" si="18">1/(1+EXP((4*D$42)*(D$32-Q11)))</f>
        <v>8.5032808975574116E-4</v>
      </c>
      <c r="X11" s="8" t="e">
        <f t="shared" ref="X11:X51" si="19">VLOOKUP(Q11,AS$2:AV$93,4)</f>
        <v>#N/A</v>
      </c>
      <c r="Z11" s="8"/>
      <c r="AH11" s="27"/>
      <c r="AI11" s="27"/>
      <c r="AR11" s="1"/>
      <c r="AS11" s="1">
        <v>63</v>
      </c>
      <c r="AT11" s="1">
        <v>0</v>
      </c>
      <c r="AU11" s="27">
        <f>SUM(AT$2:AT11)/COUNTA(AS$2:AS11)</f>
        <v>0</v>
      </c>
      <c r="AV11" s="27">
        <f t="shared" si="9"/>
        <v>0</v>
      </c>
      <c r="AW11" s="27">
        <v>0</v>
      </c>
      <c r="AY11" s="13">
        <f t="shared" si="0"/>
        <v>-3.5201309749570626</v>
      </c>
      <c r="AZ11" s="36">
        <f t="shared" si="1"/>
        <v>2.9595558637011583E-2</v>
      </c>
      <c r="BA11" s="23">
        <f t="shared" si="2"/>
        <v>2.8744839066895806E-2</v>
      </c>
    </row>
    <row r="12" spans="1:53" x14ac:dyDescent="0.2">
      <c r="A12" s="1">
        <v>62</v>
      </c>
      <c r="B12" s="5">
        <v>0</v>
      </c>
      <c r="E12" s="21" t="s">
        <v>23</v>
      </c>
      <c r="H12" s="8">
        <f t="shared" si="3"/>
        <v>-4.3106484697493173</v>
      </c>
      <c r="I12" s="39">
        <f t="shared" si="4"/>
        <v>1.342484116758828E-2</v>
      </c>
      <c r="J12" s="8">
        <f t="shared" si="5"/>
        <v>1.3247002266217625E-2</v>
      </c>
      <c r="K12" s="8">
        <f t="shared" si="6"/>
        <v>0.98675299773378233</v>
      </c>
      <c r="L12" s="10">
        <f t="shared" si="10"/>
        <v>-1.333552645668367E-2</v>
      </c>
      <c r="M12" s="44">
        <f t="shared" si="11"/>
        <v>12</v>
      </c>
      <c r="N12" s="1">
        <f t="shared" si="7"/>
        <v>62</v>
      </c>
      <c r="O12" s="1" t="str">
        <f t="shared" si="8"/>
        <v/>
      </c>
      <c r="P12" s="73"/>
      <c r="Q12" s="39">
        <f t="shared" ref="Q12:Q51" si="20">Q11+D$70</f>
        <v>59</v>
      </c>
      <c r="R12" s="13">
        <f t="shared" si="13"/>
        <v>-6.6822009541260599</v>
      </c>
      <c r="S12" s="8">
        <f t="shared" si="14"/>
        <v>1.2530171022412224E-3</v>
      </c>
      <c r="T12" s="23">
        <f t="shared" si="15"/>
        <v>1.2514490152225656E-3</v>
      </c>
      <c r="U12" s="8">
        <f t="shared" si="16"/>
        <v>-0.30636705038602396</v>
      </c>
      <c r="V12" s="8">
        <f t="shared" si="17"/>
        <v>-1.1952817824377502</v>
      </c>
      <c r="W12" s="8">
        <f t="shared" si="18"/>
        <v>1.7931503193404131E-3</v>
      </c>
      <c r="X12" s="8" t="e">
        <f t="shared" si="19"/>
        <v>#N/A</v>
      </c>
      <c r="Z12" s="8"/>
      <c r="AH12" s="27"/>
      <c r="AI12" s="27"/>
      <c r="AR12" s="1"/>
      <c r="AS12" s="1">
        <v>63</v>
      </c>
      <c r="AT12" s="1">
        <v>0</v>
      </c>
      <c r="AU12" s="27">
        <f>SUM(AT$2:AT12)/COUNTA(AS$2:AS12)</f>
        <v>0</v>
      </c>
      <c r="AV12" s="27">
        <f t="shared" si="9"/>
        <v>0</v>
      </c>
      <c r="AW12" s="27">
        <v>0</v>
      </c>
      <c r="AY12" s="13">
        <f t="shared" si="0"/>
        <v>-3.5201309749570626</v>
      </c>
      <c r="AZ12" s="36">
        <f t="shared" si="1"/>
        <v>2.9595558637011583E-2</v>
      </c>
      <c r="BA12" s="23">
        <f t="shared" si="2"/>
        <v>2.8744839066895806E-2</v>
      </c>
    </row>
    <row r="13" spans="1:53" x14ac:dyDescent="0.2">
      <c r="A13" s="1">
        <v>65.5</v>
      </c>
      <c r="B13" s="5">
        <v>0</v>
      </c>
      <c r="D13" s="8" t="str">
        <f>+H2</f>
        <v>Logit</v>
      </c>
      <c r="E13" s="10" t="str">
        <f>CHAR(COLUMN(H3)+64)&amp;ROW(H3)</f>
        <v>H3</v>
      </c>
      <c r="F13" t="str">
        <f ca="1">_xlfn.FORMULATEXT(H3)</f>
        <v>=D$3+E$3*A3</v>
      </c>
      <c r="H13" s="8">
        <f t="shared" si="3"/>
        <v>-1.5438372379764402</v>
      </c>
      <c r="I13" s="39">
        <f t="shared" si="4"/>
        <v>0.21356004642233484</v>
      </c>
      <c r="J13" s="8">
        <f t="shared" si="5"/>
        <v>0.17597814550003169</v>
      </c>
      <c r="K13" s="8">
        <f t="shared" si="6"/>
        <v>0.82402185449996834</v>
      </c>
      <c r="L13" s="10">
        <f t="shared" si="10"/>
        <v>-0.19355822697296146</v>
      </c>
      <c r="M13" s="44">
        <f t="shared" si="11"/>
        <v>13</v>
      </c>
      <c r="N13" s="1">
        <f t="shared" si="7"/>
        <v>65.5</v>
      </c>
      <c r="O13" s="1" t="str">
        <f t="shared" si="8"/>
        <v/>
      </c>
      <c r="P13" s="74"/>
      <c r="Q13" s="39">
        <f t="shared" si="20"/>
        <v>60</v>
      </c>
      <c r="R13" s="13">
        <f t="shared" si="13"/>
        <v>-5.8916834593338123</v>
      </c>
      <c r="S13" s="8">
        <f t="shared" si="14"/>
        <v>2.7623225228235694E-3</v>
      </c>
      <c r="T13" s="23">
        <f t="shared" si="15"/>
        <v>2.7547131167372885E-3</v>
      </c>
      <c r="U13" s="8">
        <f t="shared" si="16"/>
        <v>-0.2110809557154264</v>
      </c>
      <c r="V13" s="8">
        <f t="shared" si="17"/>
        <v>-1.0085190039318519</v>
      </c>
      <c r="W13" s="8">
        <f t="shared" si="18"/>
        <v>3.7773977691209324E-3</v>
      </c>
      <c r="X13" s="8" t="e">
        <f t="shared" si="19"/>
        <v>#N/A</v>
      </c>
      <c r="Z13" s="8"/>
      <c r="AH13" s="27"/>
      <c r="AI13" s="27"/>
      <c r="AJ13" s="4"/>
      <c r="AK13" s="6"/>
      <c r="AR13" s="1"/>
      <c r="AS13" s="1">
        <v>64</v>
      </c>
      <c r="AT13" s="1">
        <v>0</v>
      </c>
      <c r="AU13" s="27">
        <f>SUM(AT$2:AT13)/COUNTA(AS$2:AS13)</f>
        <v>0</v>
      </c>
      <c r="AV13" s="27">
        <f t="shared" si="9"/>
        <v>0</v>
      </c>
      <c r="AW13" s="27">
        <v>0</v>
      </c>
      <c r="AY13" s="13">
        <f t="shared" si="0"/>
        <v>-2.7296134801648151</v>
      </c>
      <c r="AZ13" s="36">
        <f t="shared" si="1"/>
        <v>6.5244503089650796E-2</v>
      </c>
      <c r="BA13" s="23">
        <f t="shared" si="2"/>
        <v>6.124838278950484E-2</v>
      </c>
    </row>
    <row r="14" spans="1:53" x14ac:dyDescent="0.2">
      <c r="A14" s="1">
        <v>73.5</v>
      </c>
      <c r="B14" s="1">
        <v>1</v>
      </c>
      <c r="D14" s="8" t="str">
        <f>+I2</f>
        <v>Odds</v>
      </c>
      <c r="E14" s="37" t="str">
        <f>CHAR(COLUMN(I3)+64)&amp;ROW(I3)</f>
        <v>I3</v>
      </c>
      <c r="F14" t="str">
        <f ca="1">_xlfn.FORMULATEXT(I3)</f>
        <v>=EXP(H3)</v>
      </c>
      <c r="H14" s="8">
        <f t="shared" si="3"/>
        <v>4.7803027203615542</v>
      </c>
      <c r="I14" s="39">
        <f t="shared" si="4"/>
        <v>119.14041081461134</v>
      </c>
      <c r="J14" s="8">
        <f t="shared" si="5"/>
        <v>0.99167640602175811</v>
      </c>
      <c r="K14" s="8">
        <f t="shared" si="6"/>
        <v>0.99167640602175811</v>
      </c>
      <c r="L14" s="10">
        <f t="shared" si="10"/>
        <v>-8.3584285203327276E-3</v>
      </c>
      <c r="M14" s="44">
        <f t="shared" si="11"/>
        <v>14</v>
      </c>
      <c r="N14" s="1" t="str">
        <f t="shared" si="7"/>
        <v/>
      </c>
      <c r="O14" s="1">
        <f t="shared" si="8"/>
        <v>73.5</v>
      </c>
      <c r="P14" s="74"/>
      <c r="Q14" s="39">
        <f t="shared" si="20"/>
        <v>61</v>
      </c>
      <c r="R14" s="13">
        <f t="shared" si="13"/>
        <v>-5.1011659645415648</v>
      </c>
      <c r="S14" s="8">
        <f t="shared" si="14"/>
        <v>6.0896421177732748E-3</v>
      </c>
      <c r="T14" s="23">
        <f t="shared" si="15"/>
        <v>6.0527828364824966E-3</v>
      </c>
      <c r="U14" s="8">
        <f t="shared" si="16"/>
        <v>-0.11579486104482895</v>
      </c>
      <c r="V14" s="8">
        <f t="shared" si="17"/>
        <v>-0.82175622542595395</v>
      </c>
      <c r="W14" s="8">
        <f t="shared" si="18"/>
        <v>7.9398901247435035E-3</v>
      </c>
      <c r="X14" s="8">
        <f t="shared" si="19"/>
        <v>0</v>
      </c>
      <c r="Z14" s="8"/>
      <c r="AH14" s="27"/>
      <c r="AI14" s="27"/>
      <c r="AK14" s="6"/>
      <c r="AR14" s="1"/>
      <c r="AS14" s="1">
        <v>64</v>
      </c>
      <c r="AT14" s="1">
        <v>0</v>
      </c>
      <c r="AU14" s="27">
        <f>SUM(AT$2:AT14)/COUNTA(AS$2:AS14)</f>
        <v>0</v>
      </c>
      <c r="AV14" s="27">
        <f t="shared" si="9"/>
        <v>0</v>
      </c>
      <c r="AW14" s="27">
        <v>0</v>
      </c>
      <c r="AY14" s="13">
        <f t="shared" si="0"/>
        <v>-2.7296134801648151</v>
      </c>
      <c r="AZ14" s="36">
        <f t="shared" si="1"/>
        <v>6.5244503089650796E-2</v>
      </c>
      <c r="BA14" s="23">
        <f t="shared" si="2"/>
        <v>6.124838278950484E-2</v>
      </c>
    </row>
    <row r="15" spans="1:53" x14ac:dyDescent="0.2">
      <c r="A15" s="1">
        <v>72</v>
      </c>
      <c r="B15" s="1">
        <v>1</v>
      </c>
      <c r="D15" s="8" t="str">
        <f>+J2</f>
        <v>p(Y=1)</v>
      </c>
      <c r="E15" s="10" t="str">
        <f>CHAR(COLUMN(J3)+64)&amp;ROW(J3)</f>
        <v>J3</v>
      </c>
      <c r="F15" t="str">
        <f ca="1">_xlfn.FORMULATEXT(J3)</f>
        <v>=I3/(1+I3)</v>
      </c>
      <c r="H15" s="8">
        <f t="shared" si="3"/>
        <v>3.5945264781731794</v>
      </c>
      <c r="I15" s="39">
        <f t="shared" si="4"/>
        <v>36.398460441068814</v>
      </c>
      <c r="J15" s="8">
        <f t="shared" si="5"/>
        <v>0.97326093138043035</v>
      </c>
      <c r="K15" s="8">
        <f t="shared" si="6"/>
        <v>0.97326093138043035</v>
      </c>
      <c r="L15" s="10">
        <f t="shared" si="10"/>
        <v>-2.7103060722713894E-2</v>
      </c>
      <c r="M15" s="44">
        <f t="shared" si="11"/>
        <v>15</v>
      </c>
      <c r="N15" s="1" t="str">
        <f t="shared" si="7"/>
        <v/>
      </c>
      <c r="O15" s="1">
        <f t="shared" si="8"/>
        <v>72</v>
      </c>
      <c r="P15" s="73"/>
      <c r="Q15" s="39">
        <f t="shared" si="20"/>
        <v>62</v>
      </c>
      <c r="R15" s="13">
        <f t="shared" si="13"/>
        <v>-4.3106484697493173</v>
      </c>
      <c r="S15" s="8">
        <f t="shared" si="14"/>
        <v>1.342484116758828E-2</v>
      </c>
      <c r="T15" s="23">
        <f t="shared" si="15"/>
        <v>1.3247002266217625E-2</v>
      </c>
      <c r="U15" s="8">
        <f t="shared" si="16"/>
        <v>-2.050876637423138E-2</v>
      </c>
      <c r="V15" s="8">
        <f t="shared" si="17"/>
        <v>-0.63499344692005566</v>
      </c>
      <c r="W15" s="8">
        <f t="shared" si="18"/>
        <v>1.6612739671049464E-2</v>
      </c>
      <c r="X15" s="8">
        <f t="shared" si="19"/>
        <v>0</v>
      </c>
      <c r="Z15" s="8"/>
      <c r="AH15" s="27"/>
      <c r="AI15" s="27"/>
      <c r="AR15" s="1"/>
      <c r="AS15" s="1">
        <v>65</v>
      </c>
      <c r="AT15" s="1">
        <v>0</v>
      </c>
      <c r="AU15" s="27">
        <f>SUM(AT$2:AT15)/COUNTA(AS$2:AS15)</f>
        <v>0</v>
      </c>
      <c r="AV15" s="27">
        <f t="shared" si="9"/>
        <v>0</v>
      </c>
      <c r="AW15" s="27">
        <v>0</v>
      </c>
      <c r="AY15" s="13">
        <f t="shared" si="0"/>
        <v>-1.9390959853725676</v>
      </c>
      <c r="AZ15" s="36">
        <f t="shared" si="1"/>
        <v>0.14383391898850426</v>
      </c>
      <c r="BA15" s="23">
        <f t="shared" si="2"/>
        <v>0.1257472056045488</v>
      </c>
    </row>
    <row r="16" spans="1:53" x14ac:dyDescent="0.2">
      <c r="A16" s="1">
        <v>72</v>
      </c>
      <c r="B16" s="1">
        <v>1</v>
      </c>
      <c r="D16" s="8" t="str">
        <f>+K2</f>
        <v>p(OK)</v>
      </c>
      <c r="E16" s="10" t="str">
        <f>CHAR(COLUMN(K3)+64)&amp;ROW(K3)</f>
        <v>K3</v>
      </c>
      <c r="F16" t="str">
        <f ca="1">_xlfn.FORMULATEXT(K3)</f>
        <v>=IF(B3=1,J3,1-J3)</v>
      </c>
      <c r="H16" s="8">
        <f t="shared" si="3"/>
        <v>3.5945264781731794</v>
      </c>
      <c r="I16" s="39">
        <f t="shared" si="4"/>
        <v>36.398460441068814</v>
      </c>
      <c r="J16" s="8">
        <f t="shared" si="5"/>
        <v>0.97326093138043035</v>
      </c>
      <c r="K16" s="8">
        <f t="shared" si="6"/>
        <v>0.97326093138043035</v>
      </c>
      <c r="L16" s="10">
        <f t="shared" si="10"/>
        <v>-2.7103060722713894E-2</v>
      </c>
      <c r="M16" s="44">
        <f t="shared" si="11"/>
        <v>16</v>
      </c>
      <c r="N16" s="1" t="str">
        <f t="shared" si="7"/>
        <v/>
      </c>
      <c r="O16" s="1">
        <f t="shared" si="8"/>
        <v>72</v>
      </c>
      <c r="P16" s="73"/>
      <c r="Q16" s="39">
        <f t="shared" si="20"/>
        <v>63</v>
      </c>
      <c r="R16" s="13">
        <f t="shared" si="13"/>
        <v>-3.5201309749570626</v>
      </c>
      <c r="S16" s="8">
        <f t="shared" si="14"/>
        <v>2.9595558637011583E-2</v>
      </c>
      <c r="T16" s="23">
        <f t="shared" si="15"/>
        <v>2.8744839066895806E-2</v>
      </c>
      <c r="U16" s="8">
        <f t="shared" si="16"/>
        <v>7.4777328296366186E-2</v>
      </c>
      <c r="V16" s="8">
        <f t="shared" si="17"/>
        <v>-0.4482306684141576</v>
      </c>
      <c r="W16" s="8">
        <f t="shared" si="18"/>
        <v>3.4430275536100008E-2</v>
      </c>
      <c r="X16" s="8">
        <f t="shared" si="19"/>
        <v>0</v>
      </c>
      <c r="Z16" s="8"/>
      <c r="AA16" s="8"/>
      <c r="AH16" s="27"/>
      <c r="AI16" s="27"/>
      <c r="AR16" s="1"/>
      <c r="AS16" s="1">
        <v>65</v>
      </c>
      <c r="AT16" s="1">
        <v>0</v>
      </c>
      <c r="AU16" s="27">
        <f>SUM(AT$2:AT16)/COUNTA(AS$2:AS16)</f>
        <v>0</v>
      </c>
      <c r="AV16" s="27">
        <f t="shared" si="9"/>
        <v>0</v>
      </c>
      <c r="AW16" s="27">
        <v>0</v>
      </c>
      <c r="AY16" s="13">
        <f t="shared" si="0"/>
        <v>-1.9390959853725676</v>
      </c>
      <c r="AZ16" s="36">
        <f t="shared" si="1"/>
        <v>0.14383391898850426</v>
      </c>
      <c r="BA16" s="23">
        <f t="shared" si="2"/>
        <v>0.1257472056045488</v>
      </c>
    </row>
    <row r="17" spans="1:53" x14ac:dyDescent="0.2">
      <c r="A17" s="1">
        <v>66</v>
      </c>
      <c r="B17" s="1">
        <v>0</v>
      </c>
      <c r="D17" s="8" t="str">
        <f>+L2</f>
        <v>Ln(pOK)</v>
      </c>
      <c r="E17" s="10" t="str">
        <f>CHAR(COLUMN(L3)+64)&amp;ROW(L3)</f>
        <v>L3</v>
      </c>
      <c r="F17" t="str">
        <f ca="1">_xlfn.FORMULATEXT(L3)</f>
        <v>=LN(K3)</v>
      </c>
      <c r="H17" s="8">
        <f t="shared" si="3"/>
        <v>-1.1485784905803129</v>
      </c>
      <c r="I17" s="39">
        <f t="shared" si="4"/>
        <v>0.31708719159320803</v>
      </c>
      <c r="J17" s="8">
        <f t="shared" si="5"/>
        <v>0.24074882332554237</v>
      </c>
      <c r="K17" s="8">
        <f t="shared" si="6"/>
        <v>0.75925117667445763</v>
      </c>
      <c r="L17" s="10">
        <f t="shared" si="10"/>
        <v>-0.27542262527222117</v>
      </c>
      <c r="M17" s="44">
        <f t="shared" si="11"/>
        <v>17</v>
      </c>
      <c r="N17" s="1">
        <f t="shared" si="7"/>
        <v>66</v>
      </c>
      <c r="O17" s="1" t="str">
        <f t="shared" si="8"/>
        <v/>
      </c>
      <c r="P17" s="73"/>
      <c r="Q17" s="39">
        <f t="shared" si="20"/>
        <v>64</v>
      </c>
      <c r="R17" s="13">
        <f t="shared" si="13"/>
        <v>-2.7296134801648151</v>
      </c>
      <c r="S17" s="8">
        <f t="shared" si="14"/>
        <v>6.5244503089650796E-2</v>
      </c>
      <c r="T17" s="23">
        <f t="shared" si="15"/>
        <v>6.124838278950484E-2</v>
      </c>
      <c r="U17" s="8">
        <f t="shared" si="16"/>
        <v>0.17006342296696364</v>
      </c>
      <c r="V17" s="8">
        <f t="shared" si="17"/>
        <v>-0.26146788990825931</v>
      </c>
      <c r="W17" s="8">
        <f t="shared" si="18"/>
        <v>6.999729338940637E-2</v>
      </c>
      <c r="X17" s="8">
        <f t="shared" si="19"/>
        <v>0</v>
      </c>
      <c r="Z17" s="8"/>
      <c r="AA17" s="8"/>
      <c r="AH17" s="27"/>
      <c r="AI17" s="27"/>
      <c r="AR17" s="1"/>
      <c r="AS17" s="1">
        <v>65</v>
      </c>
      <c r="AT17" s="1">
        <v>0</v>
      </c>
      <c r="AU17" s="27">
        <f>SUM(AT$2:AT17)/COUNTA(AS$2:AS17)</f>
        <v>0</v>
      </c>
      <c r="AV17" s="27">
        <f t="shared" si="9"/>
        <v>0</v>
      </c>
      <c r="AW17" s="27">
        <v>0</v>
      </c>
      <c r="AY17" s="13">
        <f t="shared" si="0"/>
        <v>-1.9390959853725676</v>
      </c>
      <c r="AZ17" s="36">
        <f t="shared" si="1"/>
        <v>0.14383391898850426</v>
      </c>
      <c r="BA17" s="23">
        <f t="shared" si="2"/>
        <v>0.1257472056045488</v>
      </c>
    </row>
    <row r="18" spans="1:53" x14ac:dyDescent="0.2">
      <c r="A18" s="1">
        <v>62.75</v>
      </c>
      <c r="B18" s="1">
        <v>0</v>
      </c>
      <c r="D18" s="5" t="s">
        <v>17</v>
      </c>
      <c r="E18" s="10" t="str">
        <f>CHAR(COLUMN(R11)+64)&amp;ROW(R11)</f>
        <v>R11</v>
      </c>
      <c r="F18" s="15" t="str">
        <f ca="1">_xlfn.FORMULATEXT(R11)</f>
        <v>=D$3+E$3*Q11</v>
      </c>
      <c r="H18" s="8">
        <f t="shared" si="3"/>
        <v>-3.7177603486551263</v>
      </c>
      <c r="I18" s="39">
        <f t="shared" si="4"/>
        <v>2.4288304309022121E-2</v>
      </c>
      <c r="J18" s="8">
        <f t="shared" si="5"/>
        <v>2.3712371025662395E-2</v>
      </c>
      <c r="K18" s="8">
        <f t="shared" si="6"/>
        <v>0.97628762897433763</v>
      </c>
      <c r="L18" s="10">
        <f t="shared" si="10"/>
        <v>-2.399803416712679E-2</v>
      </c>
      <c r="M18" s="44">
        <f t="shared" si="11"/>
        <v>18</v>
      </c>
      <c r="N18" s="1">
        <f t="shared" si="7"/>
        <v>62.75</v>
      </c>
      <c r="O18" s="1" t="str">
        <f t="shared" si="8"/>
        <v/>
      </c>
      <c r="P18" s="73"/>
      <c r="Q18" s="39">
        <f t="shared" si="20"/>
        <v>65</v>
      </c>
      <c r="R18" s="13">
        <f t="shared" si="13"/>
        <v>-1.9390959853725676</v>
      </c>
      <c r="S18" s="8">
        <f t="shared" si="14"/>
        <v>0.14383391898850426</v>
      </c>
      <c r="T18" s="23">
        <f t="shared" si="15"/>
        <v>0.1257472056045488</v>
      </c>
      <c r="U18" s="8">
        <f t="shared" si="16"/>
        <v>0.26534951763756121</v>
      </c>
      <c r="V18" s="8">
        <f t="shared" si="17"/>
        <v>-7.4705111402361135E-2</v>
      </c>
      <c r="W18" s="8">
        <f t="shared" si="18"/>
        <v>0.13708916563568002</v>
      </c>
      <c r="X18" s="8">
        <f t="shared" si="19"/>
        <v>0</v>
      </c>
      <c r="Z18" s="8"/>
      <c r="AA18" s="8"/>
      <c r="AH18" s="27"/>
      <c r="AI18" s="27"/>
      <c r="AR18" s="1"/>
      <c r="AS18" s="1">
        <v>65</v>
      </c>
      <c r="AT18" s="1">
        <v>0</v>
      </c>
      <c r="AU18" s="27">
        <f>SUM(AT$2:AT18)/COUNTA(AS$2:AS18)</f>
        <v>0</v>
      </c>
      <c r="AV18" s="27">
        <f t="shared" si="9"/>
        <v>0</v>
      </c>
      <c r="AW18" s="27">
        <v>0</v>
      </c>
      <c r="AY18" s="13">
        <f t="shared" si="0"/>
        <v>-1.9390959853725676</v>
      </c>
      <c r="AZ18" s="36">
        <f t="shared" si="1"/>
        <v>0.14383391898850426</v>
      </c>
      <c r="BA18" s="23">
        <f t="shared" si="2"/>
        <v>0.1257472056045488</v>
      </c>
    </row>
    <row r="19" spans="1:53" x14ac:dyDescent="0.2">
      <c r="A19" s="1">
        <v>74</v>
      </c>
      <c r="B19" s="1">
        <v>1</v>
      </c>
      <c r="D19" s="5" t="s">
        <v>18</v>
      </c>
      <c r="E19" s="1" t="str">
        <f>CHAR(COLUMN(S11)+64)&amp;ROW(S11)</f>
        <v>S11</v>
      </c>
      <c r="F19" s="1" t="str">
        <f ca="1">_xlfn.FORMULATEXT(S11)</f>
        <v>=EXP(R11)</v>
      </c>
      <c r="H19" s="8">
        <f t="shared" si="3"/>
        <v>5.1755614677576816</v>
      </c>
      <c r="I19" s="39">
        <f t="shared" si="4"/>
        <v>176.8959077474486</v>
      </c>
      <c r="J19" s="8">
        <f t="shared" si="5"/>
        <v>0.99437873522408593</v>
      </c>
      <c r="K19" s="8">
        <f t="shared" si="6"/>
        <v>0.99437873522408593</v>
      </c>
      <c r="L19" s="10">
        <f t="shared" si="10"/>
        <v>-5.6371235435660281E-3</v>
      </c>
      <c r="M19" s="44">
        <f t="shared" si="11"/>
        <v>19</v>
      </c>
      <c r="N19" s="1" t="str">
        <f t="shared" si="7"/>
        <v/>
      </c>
      <c r="O19" s="1">
        <f t="shared" si="8"/>
        <v>74</v>
      </c>
      <c r="P19" s="73"/>
      <c r="Q19" s="39">
        <f t="shared" si="20"/>
        <v>66</v>
      </c>
      <c r="R19" s="13">
        <f t="shared" si="13"/>
        <v>-1.1485784905803129</v>
      </c>
      <c r="S19" s="8">
        <f t="shared" si="14"/>
        <v>0.31708719159320803</v>
      </c>
      <c r="T19" s="23">
        <f t="shared" si="15"/>
        <v>0.24074882332554237</v>
      </c>
      <c r="U19" s="8">
        <f t="shared" si="16"/>
        <v>0.36063561230815872</v>
      </c>
      <c r="V19" s="8">
        <f t="shared" si="17"/>
        <v>0.11205766710353715</v>
      </c>
      <c r="W19" s="8">
        <f t="shared" si="18"/>
        <v>0.25112360163102776</v>
      </c>
      <c r="X19" s="8">
        <f t="shared" si="19"/>
        <v>0.24831309041835359</v>
      </c>
      <c r="Z19" s="8"/>
      <c r="AA19" s="8"/>
      <c r="AH19" s="27"/>
      <c r="AI19" s="27"/>
      <c r="AR19" s="1"/>
      <c r="AS19" s="1">
        <v>65.5</v>
      </c>
      <c r="AT19" s="5">
        <v>0</v>
      </c>
      <c r="AU19" s="27">
        <f>SUM(AT$2:AT19)/COUNTA(AS$2:AS19)</f>
        <v>0</v>
      </c>
      <c r="AV19" s="27">
        <f t="shared" si="9"/>
        <v>0</v>
      </c>
      <c r="AW19" s="27">
        <v>0</v>
      </c>
      <c r="AY19" s="13">
        <f t="shared" si="0"/>
        <v>-1.5438372379764402</v>
      </c>
      <c r="AZ19" s="36">
        <f t="shared" si="1"/>
        <v>0.21356004642233484</v>
      </c>
      <c r="BA19" s="23">
        <f t="shared" si="2"/>
        <v>0.17597814550003169</v>
      </c>
    </row>
    <row r="20" spans="1:53" x14ac:dyDescent="0.2">
      <c r="A20" s="1">
        <v>70</v>
      </c>
      <c r="B20" s="1">
        <v>1</v>
      </c>
      <c r="D20" s="5" t="s">
        <v>40</v>
      </c>
      <c r="E20" s="23" t="str">
        <f>CHAR(COLUMN(T11)+64)&amp;ROW(T11)</f>
        <v>T11</v>
      </c>
      <c r="F20" s="1" t="str">
        <f ca="1">_xlfn.FORMULATEXT(T11)</f>
        <v>=S11/(1+S11)</v>
      </c>
      <c r="H20" s="8">
        <f t="shared" si="3"/>
        <v>2.0134914885886843</v>
      </c>
      <c r="I20" s="39">
        <f t="shared" si="4"/>
        <v>7.4894209784181367</v>
      </c>
      <c r="J20" s="8">
        <f t="shared" si="5"/>
        <v>0.88220633626931599</v>
      </c>
      <c r="K20" s="8">
        <f t="shared" si="6"/>
        <v>0.88220633626931599</v>
      </c>
      <c r="L20" s="10">
        <f t="shared" si="10"/>
        <v>-0.12532930898692515</v>
      </c>
      <c r="M20" s="44">
        <f t="shared" si="11"/>
        <v>20</v>
      </c>
      <c r="N20" s="1" t="str">
        <f t="shared" si="7"/>
        <v/>
      </c>
      <c r="O20" s="1">
        <f t="shared" si="8"/>
        <v>70</v>
      </c>
      <c r="P20" s="73"/>
      <c r="Q20" s="39">
        <f t="shared" si="20"/>
        <v>67</v>
      </c>
      <c r="R20" s="13">
        <f t="shared" si="13"/>
        <v>-0.35806099578806538</v>
      </c>
      <c r="S20" s="8">
        <f t="shared" si="14"/>
        <v>0.69903043579381974</v>
      </c>
      <c r="T20" s="23">
        <f t="shared" si="15"/>
        <v>0.41142902508819346</v>
      </c>
      <c r="U20" s="8">
        <f t="shared" si="16"/>
        <v>0.45592170697875622</v>
      </c>
      <c r="V20" s="8">
        <f t="shared" si="17"/>
        <v>0.29882044560943533</v>
      </c>
      <c r="W20" s="8">
        <f t="shared" si="18"/>
        <v>0.41445525587305077</v>
      </c>
      <c r="X20" s="8">
        <f t="shared" si="19"/>
        <v>0.39128123338649656</v>
      </c>
      <c r="Z20" s="8"/>
      <c r="AA20" s="8"/>
      <c r="AH20" s="27"/>
      <c r="AI20" s="27"/>
      <c r="AR20" s="1"/>
      <c r="AS20" s="1">
        <v>66</v>
      </c>
      <c r="AT20" s="1">
        <v>1</v>
      </c>
      <c r="AU20" s="27">
        <f>SUM(AT$2:AT20)/COUNTA(AS$2:AS20)</f>
        <v>5.2631578947368418E-2</v>
      </c>
      <c r="AV20" s="27">
        <f t="shared" si="9"/>
        <v>8.4949215143120954E-2</v>
      </c>
      <c r="AW20" s="4"/>
      <c r="AY20" s="13">
        <f t="shared" si="0"/>
        <v>-1.1485784905803129</v>
      </c>
      <c r="AZ20" s="36">
        <f t="shared" si="1"/>
        <v>0.31708719159320803</v>
      </c>
      <c r="BA20" s="23">
        <f t="shared" si="2"/>
        <v>0.24074882332554237</v>
      </c>
    </row>
    <row r="21" spans="1:53" x14ac:dyDescent="0.2">
      <c r="A21" s="1">
        <v>73</v>
      </c>
      <c r="B21" s="1">
        <v>1</v>
      </c>
      <c r="D21" s="5" t="str">
        <f>U10</f>
        <v>pY OLS1</v>
      </c>
      <c r="E21" s="23" t="str">
        <f>CHAR(COLUMN(U11)+64)&amp;ROW(U11)</f>
        <v>U11</v>
      </c>
      <c r="F21" s="14" t="str">
        <f ca="1">_xlfn.FORMULATEXT(U11)</f>
        <v>=E$50+D$30*(Q11-E$61)</v>
      </c>
      <c r="H21" s="8">
        <f t="shared" si="3"/>
        <v>4.385043972965434</v>
      </c>
      <c r="I21" s="39">
        <f t="shared" si="4"/>
        <v>80.241751603093206</v>
      </c>
      <c r="J21" s="8">
        <f t="shared" si="5"/>
        <v>0.98769105810414448</v>
      </c>
      <c r="K21" s="8">
        <f t="shared" si="6"/>
        <v>0.98769105810414448</v>
      </c>
      <c r="L21" s="10">
        <f t="shared" si="10"/>
        <v>-1.2385324359877211E-2</v>
      </c>
      <c r="M21" s="44">
        <f t="shared" si="11"/>
        <v>21</v>
      </c>
      <c r="N21" s="1" t="str">
        <f t="shared" si="7"/>
        <v/>
      </c>
      <c r="O21" s="1">
        <f t="shared" si="8"/>
        <v>73</v>
      </c>
      <c r="P21" s="73"/>
      <c r="Q21" s="39">
        <f t="shared" si="20"/>
        <v>68</v>
      </c>
      <c r="R21" s="13">
        <f t="shared" si="13"/>
        <v>0.43245649900418215</v>
      </c>
      <c r="S21" s="8">
        <f t="shared" si="14"/>
        <v>1.5410384371279797</v>
      </c>
      <c r="T21" s="23">
        <f t="shared" si="15"/>
        <v>0.6064601048970143</v>
      </c>
      <c r="U21" s="8">
        <f t="shared" si="16"/>
        <v>0.55120780164935379</v>
      </c>
      <c r="V21" s="8">
        <f t="shared" si="17"/>
        <v>0.4855832241153335</v>
      </c>
      <c r="W21" s="8">
        <f t="shared" si="18"/>
        <v>0.59904164120340464</v>
      </c>
      <c r="X21" s="8">
        <f t="shared" si="19"/>
        <v>0.45042839657282741</v>
      </c>
      <c r="Z21" s="8"/>
      <c r="AA21" s="8"/>
      <c r="AH21" s="27"/>
      <c r="AI21" s="27"/>
      <c r="AR21" s="1"/>
      <c r="AS21" s="1">
        <v>66</v>
      </c>
      <c r="AT21" s="1">
        <v>0</v>
      </c>
      <c r="AU21" s="27">
        <f>SUM(AT$2:AT21)/COUNTA(AS$2:AS21)</f>
        <v>0.05</v>
      </c>
      <c r="AV21" s="27">
        <f t="shared" si="9"/>
        <v>8.0701754385964913E-2</v>
      </c>
      <c r="AW21" s="4"/>
      <c r="AY21" s="13">
        <f t="shared" si="0"/>
        <v>-1.1485784905803129</v>
      </c>
      <c r="AZ21" s="36">
        <f t="shared" si="1"/>
        <v>0.31708719159320803</v>
      </c>
      <c r="BA21" s="23">
        <f t="shared" si="2"/>
        <v>0.24074882332554237</v>
      </c>
    </row>
    <row r="22" spans="1:53" x14ac:dyDescent="0.2">
      <c r="A22" s="1">
        <v>65</v>
      </c>
      <c r="B22" s="1">
        <v>0</v>
      </c>
      <c r="D22" s="5" t="str">
        <f>V10</f>
        <v>pY OLS2</v>
      </c>
      <c r="E22" s="23" t="str">
        <f>CHAR(COLUMN(V11)+64)&amp;ROW(V11)</f>
        <v>V11</v>
      </c>
      <c r="F22" s="14" t="str">
        <f ca="1">_xlfn.FORMULATEXT(V11)</f>
        <v>=E$50+D$42*(Q11-E$61)</v>
      </c>
      <c r="H22" s="8">
        <f t="shared" si="3"/>
        <v>-1.9390959853725676</v>
      </c>
      <c r="I22" s="39">
        <f t="shared" si="4"/>
        <v>0.14383391898850426</v>
      </c>
      <c r="J22" s="8">
        <f t="shared" si="5"/>
        <v>0.1257472056045488</v>
      </c>
      <c r="K22" s="8">
        <f t="shared" si="6"/>
        <v>0.87425279439545123</v>
      </c>
      <c r="L22" s="10">
        <f t="shared" si="10"/>
        <v>-0.13438570670924338</v>
      </c>
      <c r="M22" s="44">
        <f t="shared" si="11"/>
        <v>22</v>
      </c>
      <c r="N22" s="1">
        <f t="shared" si="7"/>
        <v>65</v>
      </c>
      <c r="O22" s="1" t="str">
        <f t="shared" si="8"/>
        <v/>
      </c>
      <c r="P22" s="73"/>
      <c r="Q22" s="39">
        <f t="shared" si="20"/>
        <v>69</v>
      </c>
      <c r="R22" s="13">
        <f t="shared" si="13"/>
        <v>1.2229739937964297</v>
      </c>
      <c r="S22" s="8">
        <f t="shared" si="14"/>
        <v>3.397276203015426</v>
      </c>
      <c r="T22" s="23">
        <f t="shared" si="15"/>
        <v>0.77258649358567655</v>
      </c>
      <c r="U22" s="8">
        <f t="shared" si="16"/>
        <v>0.64649389631995124</v>
      </c>
      <c r="V22" s="8">
        <f t="shared" si="17"/>
        <v>0.67234600262123179</v>
      </c>
      <c r="W22" s="8">
        <f t="shared" si="18"/>
        <v>0.75924133491184986</v>
      </c>
      <c r="X22" s="8">
        <f t="shared" si="19"/>
        <v>0.57861635220125784</v>
      </c>
      <c r="Z22" s="8"/>
      <c r="AA22" s="9"/>
      <c r="AH22" s="27"/>
      <c r="AI22" s="27"/>
      <c r="AR22" s="1"/>
      <c r="AS22" s="1">
        <v>66</v>
      </c>
      <c r="AT22" s="1">
        <v>1</v>
      </c>
      <c r="AU22" s="27">
        <f>SUM(AT$2:AT22)/COUNTA(AS$2:AS22)</f>
        <v>9.5238095238095233E-2</v>
      </c>
      <c r="AV22" s="27">
        <f t="shared" si="9"/>
        <v>0.15371762740183792</v>
      </c>
      <c r="AW22" s="4"/>
      <c r="AY22" s="13">
        <f t="shared" si="0"/>
        <v>-1.1485784905803129</v>
      </c>
      <c r="AZ22" s="36">
        <f t="shared" si="1"/>
        <v>0.31708719159320803</v>
      </c>
      <c r="BA22" s="23">
        <f t="shared" si="2"/>
        <v>0.24074882332554237</v>
      </c>
    </row>
    <row r="23" spans="1:53" x14ac:dyDescent="0.2">
      <c r="A23" s="1">
        <v>66</v>
      </c>
      <c r="B23" s="1">
        <v>1</v>
      </c>
      <c r="D23" s="10" t="str">
        <f>W10</f>
        <v>pY Est</v>
      </c>
      <c r="E23" s="23" t="str">
        <f>CHAR(COLUMN(W11)+64)&amp;ROW(W11)</f>
        <v>W11</v>
      </c>
      <c r="F23" s="56" t="str">
        <f ca="1">_xlfn.FORMULATEXT(W11)</f>
        <v>=1/(1+EXP((4*D$42)*(D$32-Q11)))</v>
      </c>
      <c r="H23" s="8">
        <f t="shared" si="3"/>
        <v>-1.1485784905803129</v>
      </c>
      <c r="I23" s="39">
        <f t="shared" si="4"/>
        <v>0.31708719159320803</v>
      </c>
      <c r="J23" s="8">
        <f t="shared" si="5"/>
        <v>0.24074882332554237</v>
      </c>
      <c r="K23" s="8">
        <f t="shared" si="6"/>
        <v>0.24074882332554237</v>
      </c>
      <c r="L23" s="10">
        <f t="shared" si="10"/>
        <v>-1.4240011158525341</v>
      </c>
      <c r="M23" s="44">
        <f t="shared" si="11"/>
        <v>23</v>
      </c>
      <c r="N23" s="1" t="str">
        <f t="shared" si="7"/>
        <v/>
      </c>
      <c r="O23" s="1">
        <f t="shared" si="8"/>
        <v>66</v>
      </c>
      <c r="P23" s="73"/>
      <c r="Q23" s="39">
        <f t="shared" si="20"/>
        <v>70</v>
      </c>
      <c r="R23" s="13">
        <f t="shared" si="13"/>
        <v>2.0134914885886843</v>
      </c>
      <c r="S23" s="8">
        <f t="shared" si="14"/>
        <v>7.4894209784181367</v>
      </c>
      <c r="T23" s="23">
        <f t="shared" si="15"/>
        <v>0.88220633626931599</v>
      </c>
      <c r="U23" s="8">
        <f t="shared" si="16"/>
        <v>0.74177999099054881</v>
      </c>
      <c r="V23" s="8">
        <f t="shared" si="17"/>
        <v>0.85910878112712996</v>
      </c>
      <c r="W23" s="8">
        <f t="shared" si="18"/>
        <v>0.86938996938516533</v>
      </c>
      <c r="X23" s="8">
        <f t="shared" si="19"/>
        <v>0.67251461988304095</v>
      </c>
      <c r="Z23" s="8"/>
      <c r="AA23" s="8"/>
      <c r="AH23" s="27"/>
      <c r="AI23" s="27"/>
      <c r="AR23" s="1"/>
      <c r="AS23" s="1">
        <v>66</v>
      </c>
      <c r="AT23" s="1">
        <v>0</v>
      </c>
      <c r="AU23" s="27">
        <f>SUM(AT$2:AT23)/COUNTA(AS$2:AS23)</f>
        <v>9.0909090909090912E-2</v>
      </c>
      <c r="AV23" s="27">
        <f t="shared" si="9"/>
        <v>0.14673046251993621</v>
      </c>
      <c r="AW23" s="4"/>
      <c r="AY23" s="13">
        <f t="shared" si="0"/>
        <v>-1.1485784905803129</v>
      </c>
      <c r="AZ23" s="36">
        <f t="shared" si="1"/>
        <v>0.31708719159320803</v>
      </c>
      <c r="BA23" s="23">
        <f t="shared" si="2"/>
        <v>0.24074882332554237</v>
      </c>
    </row>
    <row r="24" spans="1:53" x14ac:dyDescent="0.2">
      <c r="A24" s="1">
        <v>69</v>
      </c>
      <c r="B24" s="1">
        <v>1</v>
      </c>
      <c r="H24" s="8">
        <f t="shared" si="3"/>
        <v>1.2229739937964297</v>
      </c>
      <c r="I24" s="39">
        <f t="shared" si="4"/>
        <v>3.397276203015426</v>
      </c>
      <c r="J24" s="8">
        <f t="shared" si="5"/>
        <v>0.77258649358567655</v>
      </c>
      <c r="K24" s="8">
        <f t="shared" si="6"/>
        <v>0.77258649358567655</v>
      </c>
      <c r="L24" s="10">
        <f t="shared" si="10"/>
        <v>-0.25801131067123856</v>
      </c>
      <c r="M24" s="44">
        <f t="shared" si="11"/>
        <v>24</v>
      </c>
      <c r="N24" s="1" t="str">
        <f t="shared" si="7"/>
        <v/>
      </c>
      <c r="O24" s="1">
        <f t="shared" si="8"/>
        <v>69</v>
      </c>
      <c r="P24" s="73"/>
      <c r="Q24" s="39">
        <f t="shared" si="20"/>
        <v>71</v>
      </c>
      <c r="R24" s="13">
        <f t="shared" si="13"/>
        <v>2.8040089833809319</v>
      </c>
      <c r="S24" s="8">
        <f t="shared" si="14"/>
        <v>16.510705412230681</v>
      </c>
      <c r="T24" s="23">
        <f t="shared" si="15"/>
        <v>0.94289207793413443</v>
      </c>
      <c r="U24" s="8">
        <f t="shared" si="16"/>
        <v>0.83706608566114626</v>
      </c>
      <c r="V24" s="8">
        <f t="shared" si="17"/>
        <v>1.0458715596330281</v>
      </c>
      <c r="W24" s="8">
        <f t="shared" si="18"/>
        <v>0.93355509525399738</v>
      </c>
      <c r="X24" s="8">
        <f t="shared" si="19"/>
        <v>0.75810738968633717</v>
      </c>
      <c r="Z24" s="8"/>
      <c r="AA24" s="8"/>
      <c r="AH24" s="27"/>
      <c r="AI24" s="27"/>
      <c r="AR24" s="1"/>
      <c r="AS24" s="1">
        <v>66</v>
      </c>
      <c r="AT24" s="1">
        <v>0</v>
      </c>
      <c r="AU24" s="27">
        <f>SUM(AT$2:AT24)/COUNTA(AS$2:AS24)</f>
        <v>8.6956521739130432E-2</v>
      </c>
      <c r="AV24" s="27">
        <f t="shared" si="9"/>
        <v>0.14035087719298245</v>
      </c>
      <c r="AW24" s="4"/>
      <c r="AY24" s="13">
        <f t="shared" si="0"/>
        <v>-1.1485784905803129</v>
      </c>
      <c r="AZ24" s="36">
        <f t="shared" si="1"/>
        <v>0.31708719159320803</v>
      </c>
      <c r="BA24" s="23">
        <f t="shared" si="2"/>
        <v>0.24074882332554237</v>
      </c>
    </row>
    <row r="25" spans="1:53" x14ac:dyDescent="0.2">
      <c r="A25" s="1">
        <v>75</v>
      </c>
      <c r="B25" s="1">
        <v>1</v>
      </c>
      <c r="D25" s="46">
        <f>E3/4</f>
        <v>0.19762937369806238</v>
      </c>
      <c r="E25" s="28" t="s">
        <v>43</v>
      </c>
      <c r="F25" s="1" t="str">
        <f ca="1">_xlfn.FORMULATEXT(D25)</f>
        <v>=E3/4</v>
      </c>
      <c r="H25" s="8">
        <f t="shared" si="3"/>
        <v>5.9660789625499291</v>
      </c>
      <c r="I25" s="39">
        <f t="shared" si="4"/>
        <v>389.97356803197664</v>
      </c>
      <c r="J25" s="8">
        <f t="shared" si="5"/>
        <v>0.99744228233884547</v>
      </c>
      <c r="K25" s="8">
        <f t="shared" si="6"/>
        <v>0.99744228233884547</v>
      </c>
      <c r="L25" s="10">
        <f t="shared" si="10"/>
        <v>-2.5609942091538718E-3</v>
      </c>
      <c r="M25" s="44">
        <f t="shared" si="11"/>
        <v>25</v>
      </c>
      <c r="N25" s="1" t="str">
        <f t="shared" si="7"/>
        <v/>
      </c>
      <c r="O25" s="1">
        <f t="shared" si="8"/>
        <v>75</v>
      </c>
      <c r="P25" s="73"/>
      <c r="Q25" s="39">
        <f t="shared" si="20"/>
        <v>72</v>
      </c>
      <c r="R25" s="13">
        <f t="shared" si="13"/>
        <v>3.5945264781731794</v>
      </c>
      <c r="S25" s="8">
        <f t="shared" si="14"/>
        <v>36.398460441068814</v>
      </c>
      <c r="T25" s="23">
        <f t="shared" si="15"/>
        <v>0.97326093138043035</v>
      </c>
      <c r="U25" s="8">
        <f t="shared" si="16"/>
        <v>0.93235218033174383</v>
      </c>
      <c r="V25" s="8">
        <f t="shared" si="17"/>
        <v>1.2326343381389262</v>
      </c>
      <c r="W25" s="8">
        <f t="shared" si="18"/>
        <v>0.96738038504765522</v>
      </c>
      <c r="X25" s="8">
        <f t="shared" si="19"/>
        <v>0.86081871345029237</v>
      </c>
      <c r="Z25" s="8"/>
      <c r="AA25" s="8"/>
      <c r="AR25" s="1"/>
      <c r="AS25" s="1">
        <v>66</v>
      </c>
      <c r="AT25" s="1">
        <v>1</v>
      </c>
      <c r="AU25" s="27">
        <f>SUM(AT$2:AT25)/COUNTA(AS$2:AS25)</f>
        <v>0.125</v>
      </c>
      <c r="AV25" s="27">
        <f t="shared" si="9"/>
        <v>0.2017543859649123</v>
      </c>
      <c r="AW25" s="4"/>
      <c r="AY25" s="13">
        <f t="shared" si="0"/>
        <v>-1.1485784905803129</v>
      </c>
      <c r="AZ25" s="36">
        <f t="shared" si="1"/>
        <v>0.31708719159320803</v>
      </c>
      <c r="BA25" s="23">
        <f t="shared" si="2"/>
        <v>0.24074882332554237</v>
      </c>
    </row>
    <row r="26" spans="1:53" x14ac:dyDescent="0.2">
      <c r="A26" s="1">
        <v>66</v>
      </c>
      <c r="B26" s="1">
        <v>0</v>
      </c>
      <c r="D26" s="28">
        <f>-D3/E3</f>
        <v>67.452945062123092</v>
      </c>
      <c r="E26" s="57" t="s">
        <v>35</v>
      </c>
      <c r="F26" s="1" t="str">
        <f ca="1">_xlfn.FORMULATEXT(D26)</f>
        <v>=-D3/E3</v>
      </c>
      <c r="H26" s="8">
        <f t="shared" si="3"/>
        <v>-1.1485784905803129</v>
      </c>
      <c r="I26" s="39">
        <f t="shared" si="4"/>
        <v>0.31708719159320803</v>
      </c>
      <c r="J26" s="8">
        <f t="shared" si="5"/>
        <v>0.24074882332554237</v>
      </c>
      <c r="K26" s="8">
        <f t="shared" si="6"/>
        <v>0.75925117667445763</v>
      </c>
      <c r="L26" s="10">
        <f t="shared" si="10"/>
        <v>-0.27542262527222117</v>
      </c>
      <c r="M26" s="44">
        <f t="shared" si="11"/>
        <v>26</v>
      </c>
      <c r="N26" s="1">
        <f t="shared" si="7"/>
        <v>66</v>
      </c>
      <c r="O26" s="1" t="str">
        <f t="shared" si="8"/>
        <v/>
      </c>
      <c r="P26" s="73"/>
      <c r="Q26" s="39">
        <f t="shared" si="20"/>
        <v>73</v>
      </c>
      <c r="R26" s="13">
        <f t="shared" si="13"/>
        <v>4.385043972965434</v>
      </c>
      <c r="S26" s="8">
        <f t="shared" si="14"/>
        <v>80.241751603093206</v>
      </c>
      <c r="T26" s="23">
        <f t="shared" si="15"/>
        <v>0.98769105810414448</v>
      </c>
      <c r="U26" s="8">
        <f t="shared" si="16"/>
        <v>1.0276382750023414</v>
      </c>
      <c r="V26" s="8">
        <f t="shared" si="17"/>
        <v>1.4193971166448245</v>
      </c>
      <c r="W26" s="8">
        <f t="shared" si="18"/>
        <v>0.98427616973582643</v>
      </c>
      <c r="X26" s="8">
        <f t="shared" si="19"/>
        <v>0.92511767222935382</v>
      </c>
      <c r="Z26" s="8"/>
      <c r="AA26" s="8"/>
      <c r="AR26" s="1"/>
      <c r="AS26" s="1">
        <v>66</v>
      </c>
      <c r="AT26" s="1">
        <v>1</v>
      </c>
      <c r="AU26" s="27">
        <f>SUM(AT$2:AT26)/COUNTA(AS$2:AS26)</f>
        <v>0.16</v>
      </c>
      <c r="AV26" s="27">
        <f t="shared" si="9"/>
        <v>0.25824561403508772</v>
      </c>
      <c r="AW26" s="4"/>
      <c r="AY26" s="13">
        <f t="shared" si="0"/>
        <v>-1.1485784905803129</v>
      </c>
      <c r="AZ26" s="36">
        <f t="shared" si="1"/>
        <v>0.31708719159320803</v>
      </c>
      <c r="BA26" s="23">
        <f t="shared" si="2"/>
        <v>0.24074882332554237</v>
      </c>
    </row>
    <row r="27" spans="1:53" x14ac:dyDescent="0.2">
      <c r="A27" s="1">
        <v>73</v>
      </c>
      <c r="B27" s="1">
        <v>1</v>
      </c>
      <c r="D27" s="38"/>
      <c r="E27" s="40"/>
      <c r="F27" s="38"/>
      <c r="G27" s="38"/>
      <c r="H27" s="8">
        <f t="shared" si="3"/>
        <v>4.385043972965434</v>
      </c>
      <c r="I27" s="39">
        <f t="shared" si="4"/>
        <v>80.241751603093206</v>
      </c>
      <c r="J27" s="8">
        <f t="shared" si="5"/>
        <v>0.98769105810414448</v>
      </c>
      <c r="K27" s="8">
        <f t="shared" si="6"/>
        <v>0.98769105810414448</v>
      </c>
      <c r="L27" s="10">
        <f t="shared" si="10"/>
        <v>-1.2385324359877211E-2</v>
      </c>
      <c r="M27" s="44">
        <f t="shared" si="11"/>
        <v>27</v>
      </c>
      <c r="N27" s="1" t="str">
        <f t="shared" si="7"/>
        <v/>
      </c>
      <c r="O27" s="1">
        <f t="shared" si="8"/>
        <v>73</v>
      </c>
      <c r="P27" s="73"/>
      <c r="Q27" s="39">
        <f t="shared" si="20"/>
        <v>74</v>
      </c>
      <c r="R27" s="13">
        <f t="shared" si="13"/>
        <v>5.1755614677576816</v>
      </c>
      <c r="S27" s="8">
        <f t="shared" si="14"/>
        <v>176.8959077474486</v>
      </c>
      <c r="T27" s="23">
        <f t="shared" si="15"/>
        <v>0.99437873522408593</v>
      </c>
      <c r="U27" s="8">
        <f t="shared" si="16"/>
        <v>1.1229243696729387</v>
      </c>
      <c r="V27" s="8">
        <f t="shared" si="17"/>
        <v>1.6061598951507228</v>
      </c>
      <c r="W27" s="8">
        <f t="shared" si="18"/>
        <v>0.99248849979962961</v>
      </c>
      <c r="X27" s="8">
        <f t="shared" si="19"/>
        <v>0.97930218805440583</v>
      </c>
      <c r="Z27" s="8"/>
      <c r="AA27" s="8"/>
      <c r="AR27" s="1"/>
      <c r="AS27" s="1">
        <v>66</v>
      </c>
      <c r="AT27" s="1">
        <v>0</v>
      </c>
      <c r="AU27" s="27">
        <f>SUM(AT$2:AT27)/COUNTA(AS$2:AS27)</f>
        <v>0.15384615384615385</v>
      </c>
      <c r="AV27" s="27">
        <f t="shared" si="9"/>
        <v>0.24831309041835359</v>
      </c>
      <c r="AW27" s="4"/>
      <c r="AY27" s="13">
        <f t="shared" si="0"/>
        <v>-1.1485784905803129</v>
      </c>
      <c r="AZ27" s="36">
        <f t="shared" si="1"/>
        <v>0.31708719159320803</v>
      </c>
      <c r="BA27" s="23">
        <f t="shared" si="2"/>
        <v>0.24074882332554237</v>
      </c>
    </row>
    <row r="28" spans="1:53" x14ac:dyDescent="0.2">
      <c r="A28" s="1">
        <v>69</v>
      </c>
      <c r="B28" s="1">
        <v>1</v>
      </c>
      <c r="D28" s="42" t="s">
        <v>61</v>
      </c>
      <c r="H28" s="8">
        <f t="shared" si="3"/>
        <v>1.2229739937964297</v>
      </c>
      <c r="I28" s="39">
        <f t="shared" si="4"/>
        <v>3.397276203015426</v>
      </c>
      <c r="J28" s="8">
        <f t="shared" si="5"/>
        <v>0.77258649358567655</v>
      </c>
      <c r="K28" s="8">
        <f t="shared" si="6"/>
        <v>0.77258649358567655</v>
      </c>
      <c r="L28" s="10">
        <f t="shared" si="10"/>
        <v>-0.25801131067123856</v>
      </c>
      <c r="M28" s="44">
        <f t="shared" si="11"/>
        <v>28</v>
      </c>
      <c r="N28" s="1" t="str">
        <f t="shared" si="7"/>
        <v/>
      </c>
      <c r="O28" s="1">
        <f t="shared" si="8"/>
        <v>69</v>
      </c>
      <c r="P28" s="73"/>
      <c r="Q28" s="39">
        <f t="shared" si="20"/>
        <v>75</v>
      </c>
      <c r="R28" s="13">
        <f t="shared" si="13"/>
        <v>5.9660789625499291</v>
      </c>
      <c r="S28" s="8">
        <f t="shared" si="14"/>
        <v>389.97356803197664</v>
      </c>
      <c r="T28" s="23">
        <f t="shared" si="15"/>
        <v>0.99744228233884547</v>
      </c>
      <c r="U28" s="8">
        <f t="shared" si="16"/>
        <v>1.2182104643435365</v>
      </c>
      <c r="V28" s="8">
        <f t="shared" si="17"/>
        <v>1.7929226736566211</v>
      </c>
      <c r="W28" s="8">
        <f t="shared" si="18"/>
        <v>0.996427217280487</v>
      </c>
      <c r="X28" s="8">
        <f t="shared" si="19"/>
        <v>1</v>
      </c>
      <c r="Z28" s="8"/>
      <c r="AA28" s="8"/>
      <c r="AR28" s="1"/>
      <c r="AS28" s="1">
        <v>67</v>
      </c>
      <c r="AT28" s="5">
        <v>0</v>
      </c>
      <c r="AU28" s="27">
        <f>SUM(AT$2:AT28)/COUNTA(AS$2:AS28)</f>
        <v>0.14814814814814814</v>
      </c>
      <c r="AV28" s="27">
        <f t="shared" si="9"/>
        <v>0.23911630929174787</v>
      </c>
      <c r="AW28" s="4"/>
      <c r="AY28" s="13">
        <f t="shared" si="0"/>
        <v>-0.35806099578806538</v>
      </c>
      <c r="AZ28" s="36">
        <f t="shared" si="1"/>
        <v>0.69903043579381974</v>
      </c>
      <c r="BA28" s="23">
        <f t="shared" si="2"/>
        <v>0.41142902508819346</v>
      </c>
    </row>
    <row r="29" spans="1:53" x14ac:dyDescent="0.2">
      <c r="A29" s="1">
        <v>70</v>
      </c>
      <c r="B29" s="1">
        <v>1</v>
      </c>
      <c r="D29" s="18">
        <f>INTERCEPT(B3:B94, A3:A94)</f>
        <v>-5.9282466359512771</v>
      </c>
      <c r="E29" s="6" t="s">
        <v>64</v>
      </c>
      <c r="F29" s="47" t="str">
        <f ca="1">_xlfn.FORMULATEXT(D29)</f>
        <v>=INTERCEPT(B3:B94, A3:A94)</v>
      </c>
      <c r="H29" s="8">
        <f t="shared" si="3"/>
        <v>2.0134914885886843</v>
      </c>
      <c r="I29" s="39">
        <f t="shared" si="4"/>
        <v>7.4894209784181367</v>
      </c>
      <c r="J29" s="8">
        <f t="shared" si="5"/>
        <v>0.88220633626931599</v>
      </c>
      <c r="K29" s="8">
        <f t="shared" si="6"/>
        <v>0.88220633626931599</v>
      </c>
      <c r="L29" s="10">
        <f t="shared" si="10"/>
        <v>-0.12532930898692515</v>
      </c>
      <c r="M29" s="44">
        <f t="shared" si="11"/>
        <v>29</v>
      </c>
      <c r="N29" s="1" t="str">
        <f t="shared" si="7"/>
        <v/>
      </c>
      <c r="O29" s="1">
        <f t="shared" si="8"/>
        <v>70</v>
      </c>
      <c r="P29" s="73"/>
      <c r="Q29" s="39">
        <f t="shared" si="20"/>
        <v>76</v>
      </c>
      <c r="R29" s="13">
        <f t="shared" si="13"/>
        <v>6.7565964573421766</v>
      </c>
      <c r="S29" s="8">
        <f t="shared" si="14"/>
        <v>859.71114708154801</v>
      </c>
      <c r="T29" s="23">
        <f t="shared" si="15"/>
        <v>0.99883817003719455</v>
      </c>
      <c r="U29" s="8">
        <f t="shared" si="16"/>
        <v>1.3134965590141339</v>
      </c>
      <c r="V29" s="8">
        <f t="shared" si="17"/>
        <v>1.9796854521625193</v>
      </c>
      <c r="W29" s="8">
        <f t="shared" si="18"/>
        <v>0.99830416447131776</v>
      </c>
      <c r="X29" s="8">
        <f t="shared" si="19"/>
        <v>1</v>
      </c>
      <c r="AB29" s="2"/>
      <c r="AR29" s="1"/>
      <c r="AS29" s="1">
        <v>67</v>
      </c>
      <c r="AT29" s="1">
        <v>1</v>
      </c>
      <c r="AU29" s="27">
        <f>SUM(AT$2:AT29)/COUNTA(AS$2:AS29)</f>
        <v>0.17857142857142858</v>
      </c>
      <c r="AV29" s="27">
        <f t="shared" si="9"/>
        <v>0.28822055137844615</v>
      </c>
      <c r="AW29" s="4"/>
      <c r="AY29" s="13">
        <f t="shared" si="0"/>
        <v>-0.35806099578806538</v>
      </c>
      <c r="AZ29" s="36">
        <f t="shared" si="1"/>
        <v>0.69903043579381974</v>
      </c>
      <c r="BA29" s="23">
        <f t="shared" si="2"/>
        <v>0.41142902508819346</v>
      </c>
    </row>
    <row r="30" spans="1:53" x14ac:dyDescent="0.2">
      <c r="A30" s="1">
        <v>66</v>
      </c>
      <c r="B30" s="1">
        <v>0</v>
      </c>
      <c r="D30" s="43">
        <f>SLOPE(B3:B94,A3:A94)</f>
        <v>9.5286094670597524E-2</v>
      </c>
      <c r="E30" s="28" t="s">
        <v>65</v>
      </c>
      <c r="F30" s="48" t="str">
        <f ca="1">_xlfn.FORMULATEXT(D30)</f>
        <v>=SLOPE(B3:B94,A3:A94)</v>
      </c>
      <c r="H30" s="8">
        <f t="shared" si="3"/>
        <v>-1.1485784905803129</v>
      </c>
      <c r="I30" s="39">
        <f t="shared" si="4"/>
        <v>0.31708719159320803</v>
      </c>
      <c r="J30" s="8">
        <f t="shared" si="5"/>
        <v>0.24074882332554237</v>
      </c>
      <c r="K30" s="8">
        <f t="shared" si="6"/>
        <v>0.75925117667445763</v>
      </c>
      <c r="L30" s="10">
        <f t="shared" si="10"/>
        <v>-0.27542262527222117</v>
      </c>
      <c r="M30" s="44">
        <f t="shared" si="11"/>
        <v>30</v>
      </c>
      <c r="N30" s="1">
        <f t="shared" si="7"/>
        <v>66</v>
      </c>
      <c r="O30" s="1" t="str">
        <f t="shared" si="8"/>
        <v/>
      </c>
      <c r="P30" s="73"/>
      <c r="Q30" s="39">
        <f t="shared" si="20"/>
        <v>77</v>
      </c>
      <c r="R30" s="13">
        <f t="shared" si="13"/>
        <v>7.5471139521344313</v>
      </c>
      <c r="S30" s="8">
        <f t="shared" si="14"/>
        <v>1895.2650051289427</v>
      </c>
      <c r="T30" s="23">
        <f t="shared" si="15"/>
        <v>0.99947264754805087</v>
      </c>
      <c r="U30" s="8">
        <f t="shared" si="16"/>
        <v>1.4087826536847314</v>
      </c>
      <c r="V30" s="8">
        <f t="shared" si="17"/>
        <v>2.1664482306684172</v>
      </c>
      <c r="W30" s="8">
        <f t="shared" si="18"/>
        <v>0.99919586068310484</v>
      </c>
      <c r="X30" s="8">
        <f t="shared" si="19"/>
        <v>1</v>
      </c>
      <c r="AR30" s="1"/>
      <c r="AS30" s="1">
        <v>67</v>
      </c>
      <c r="AT30" s="1">
        <v>1</v>
      </c>
      <c r="AU30" s="27">
        <f>SUM(AT$2:AT30)/COUNTA(AS$2:AS30)</f>
        <v>0.20689655172413793</v>
      </c>
      <c r="AV30" s="27">
        <f t="shared" si="9"/>
        <v>0.33393829401088931</v>
      </c>
      <c r="AW30" s="4"/>
      <c r="AY30" s="13">
        <f t="shared" si="0"/>
        <v>-0.35806099578806538</v>
      </c>
      <c r="AZ30" s="36">
        <f t="shared" si="1"/>
        <v>0.69903043579381974</v>
      </c>
      <c r="BA30" s="23">
        <f t="shared" si="2"/>
        <v>0.41142902508819346</v>
      </c>
    </row>
    <row r="31" spans="1:53" x14ac:dyDescent="0.2">
      <c r="A31" s="1">
        <v>65</v>
      </c>
      <c r="B31" s="1">
        <v>0</v>
      </c>
      <c r="D31">
        <f>-D29/D30</f>
        <v>62.215233570492408</v>
      </c>
      <c r="E31" s="32" t="s">
        <v>44</v>
      </c>
      <c r="F31" s="15" t="str">
        <f ca="1">_xlfn.FORMULATEXT(D31)</f>
        <v>=-D29/D30</v>
      </c>
      <c r="H31" s="8">
        <f t="shared" si="3"/>
        <v>-1.9390959853725676</v>
      </c>
      <c r="I31" s="39">
        <f t="shared" si="4"/>
        <v>0.14383391898850426</v>
      </c>
      <c r="J31" s="8">
        <f t="shared" si="5"/>
        <v>0.1257472056045488</v>
      </c>
      <c r="K31" s="8">
        <f t="shared" si="6"/>
        <v>0.87425279439545123</v>
      </c>
      <c r="L31" s="10">
        <f t="shared" si="10"/>
        <v>-0.13438570670924338</v>
      </c>
      <c r="M31" s="44">
        <f t="shared" si="11"/>
        <v>31</v>
      </c>
      <c r="N31" s="1">
        <f t="shared" si="7"/>
        <v>65</v>
      </c>
      <c r="O31" s="1" t="str">
        <f t="shared" si="8"/>
        <v/>
      </c>
      <c r="P31" s="73"/>
      <c r="Q31" s="39">
        <f t="shared" si="20"/>
        <v>78</v>
      </c>
      <c r="R31" s="13">
        <f t="shared" si="13"/>
        <v>8.3376314469266788</v>
      </c>
      <c r="S31" s="8">
        <f t="shared" si="14"/>
        <v>4178.1817670507226</v>
      </c>
      <c r="T31" s="23">
        <f t="shared" si="15"/>
        <v>0.99976071871104433</v>
      </c>
      <c r="U31" s="8">
        <f t="shared" si="16"/>
        <v>1.504068748355329</v>
      </c>
      <c r="V31" s="8">
        <f t="shared" si="17"/>
        <v>2.3532110091743155</v>
      </c>
      <c r="W31" s="8">
        <f t="shared" si="18"/>
        <v>0.99961886841671987</v>
      </c>
      <c r="X31" s="8">
        <f t="shared" si="19"/>
        <v>1</v>
      </c>
      <c r="AR31" s="1"/>
      <c r="AS31" s="1">
        <v>67</v>
      </c>
      <c r="AT31" s="1">
        <v>1</v>
      </c>
      <c r="AU31" s="27">
        <f>SUM(AT$2:AT31)/COUNTA(AS$2:AS31)</f>
        <v>0.23333333333333334</v>
      </c>
      <c r="AV31" s="27">
        <f t="shared" si="9"/>
        <v>0.37660818713450295</v>
      </c>
      <c r="AW31" s="4"/>
      <c r="AY31" s="13">
        <f t="shared" si="0"/>
        <v>-0.35806099578806538</v>
      </c>
      <c r="AZ31" s="36">
        <f t="shared" si="1"/>
        <v>0.69903043579381974</v>
      </c>
      <c r="BA31" s="23">
        <f t="shared" si="2"/>
        <v>0.41142902508819346</v>
      </c>
    </row>
    <row r="32" spans="1:53" x14ac:dyDescent="0.2">
      <c r="A32" s="1">
        <v>74</v>
      </c>
      <c r="B32" s="1">
        <v>1</v>
      </c>
      <c r="D32" s="28">
        <f>(0.5-D29)/D30</f>
        <v>67.462588934656424</v>
      </c>
      <c r="E32" s="57" t="s">
        <v>45</v>
      </c>
      <c r="F32" s="15" t="str">
        <f ca="1">_xlfn.FORMULATEXT(D32)</f>
        <v>=(0.5-D29)/D30</v>
      </c>
      <c r="H32" s="8">
        <f t="shared" si="3"/>
        <v>5.1755614677576816</v>
      </c>
      <c r="I32" s="39">
        <f t="shared" si="4"/>
        <v>176.8959077474486</v>
      </c>
      <c r="J32" s="8">
        <f t="shared" si="5"/>
        <v>0.99437873522408593</v>
      </c>
      <c r="K32" s="8">
        <f t="shared" si="6"/>
        <v>0.99437873522408593</v>
      </c>
      <c r="L32" s="10">
        <f t="shared" si="10"/>
        <v>-5.6371235435660281E-3</v>
      </c>
      <c r="M32" s="44">
        <f t="shared" si="11"/>
        <v>32</v>
      </c>
      <c r="N32" s="1" t="str">
        <f t="shared" si="7"/>
        <v/>
      </c>
      <c r="O32" s="1">
        <f t="shared" si="8"/>
        <v>74</v>
      </c>
      <c r="P32" s="73"/>
      <c r="Q32" s="39">
        <f t="shared" si="20"/>
        <v>79</v>
      </c>
      <c r="R32" s="13">
        <f t="shared" si="13"/>
        <v>9.1281489417189263</v>
      </c>
      <c r="S32" s="8">
        <f t="shared" si="14"/>
        <v>9210.9561624747093</v>
      </c>
      <c r="T32" s="23">
        <f t="shared" si="15"/>
        <v>0.99989144542349506</v>
      </c>
      <c r="U32" s="8">
        <f t="shared" si="16"/>
        <v>1.5993548430259266</v>
      </c>
      <c r="V32" s="8">
        <f t="shared" si="17"/>
        <v>2.5399737876802138</v>
      </c>
      <c r="W32" s="8">
        <f t="shared" si="18"/>
        <v>0.99981939828255084</v>
      </c>
      <c r="X32" s="8">
        <f t="shared" si="19"/>
        <v>1</v>
      </c>
      <c r="AR32" s="1"/>
      <c r="AS32" s="1">
        <v>67</v>
      </c>
      <c r="AT32" s="1">
        <v>0</v>
      </c>
      <c r="AU32" s="27">
        <f>SUM(AT$2:AT32)/COUNTA(AS$2:AS32)</f>
        <v>0.22580645161290322</v>
      </c>
      <c r="AV32" s="27">
        <f t="shared" si="9"/>
        <v>0.36445953593661573</v>
      </c>
      <c r="AW32" s="4"/>
      <c r="AY32" s="13">
        <f t="shared" si="0"/>
        <v>-0.35806099578806538</v>
      </c>
      <c r="AZ32" s="36">
        <f t="shared" si="1"/>
        <v>0.69903043579381974</v>
      </c>
      <c r="BA32" s="23">
        <f t="shared" si="2"/>
        <v>0.41142902508819346</v>
      </c>
    </row>
    <row r="33" spans="1:53" x14ac:dyDescent="0.2">
      <c r="A33" s="1">
        <v>67</v>
      </c>
      <c r="B33" s="1">
        <v>1</v>
      </c>
      <c r="D33">
        <f>-(D29-1)/D30</f>
        <v>72.709944298820446</v>
      </c>
      <c r="E33" s="32" t="s">
        <v>46</v>
      </c>
      <c r="F33" s="15" t="str">
        <f ca="1">_xlfn.FORMULATEXT(D33)</f>
        <v>=-(D29-1)/D30</v>
      </c>
      <c r="H33" s="8">
        <f t="shared" si="3"/>
        <v>-0.35806099578806538</v>
      </c>
      <c r="I33" s="39">
        <f t="shared" si="4"/>
        <v>0.69903043579381974</v>
      </c>
      <c r="J33" s="8">
        <f t="shared" si="5"/>
        <v>0.41142902508819346</v>
      </c>
      <c r="K33" s="8">
        <f t="shared" si="6"/>
        <v>0.41142902508819346</v>
      </c>
      <c r="L33" s="10">
        <f t="shared" si="10"/>
        <v>-0.88811875226315196</v>
      </c>
      <c r="M33" s="44">
        <f t="shared" si="11"/>
        <v>33</v>
      </c>
      <c r="N33" s="1" t="str">
        <f t="shared" si="7"/>
        <v/>
      </c>
      <c r="O33" s="1">
        <f t="shared" si="8"/>
        <v>67</v>
      </c>
      <c r="P33" s="73"/>
      <c r="Q33" s="39">
        <f t="shared" si="20"/>
        <v>80</v>
      </c>
      <c r="R33" s="13">
        <f t="shared" si="13"/>
        <v>9.9186664365111739</v>
      </c>
      <c r="S33" s="8">
        <f t="shared" si="14"/>
        <v>20305.893366367003</v>
      </c>
      <c r="T33" s="23">
        <f t="shared" si="15"/>
        <v>0.99995075563839542</v>
      </c>
      <c r="U33" s="8">
        <f t="shared" si="16"/>
        <v>1.6946409376965241</v>
      </c>
      <c r="V33" s="8">
        <f t="shared" si="17"/>
        <v>2.726736566186112</v>
      </c>
      <c r="W33" s="8">
        <f t="shared" si="18"/>
        <v>0.99991442971537214</v>
      </c>
      <c r="X33" s="8">
        <f t="shared" si="19"/>
        <v>1</v>
      </c>
      <c r="AR33" s="1"/>
      <c r="AS33" s="1">
        <v>67</v>
      </c>
      <c r="AT33" s="1">
        <v>0</v>
      </c>
      <c r="AU33" s="27">
        <f>SUM(AT$2:AT33)/COUNTA(AS$2:AS33)</f>
        <v>0.21875</v>
      </c>
      <c r="AV33" s="27">
        <f t="shared" si="9"/>
        <v>0.35307017543859648</v>
      </c>
      <c r="AW33" s="4"/>
      <c r="AY33" s="13">
        <f t="shared" si="0"/>
        <v>-0.35806099578806538</v>
      </c>
      <c r="AZ33" s="36">
        <f t="shared" si="1"/>
        <v>0.69903043579381974</v>
      </c>
      <c r="BA33" s="23">
        <f t="shared" si="2"/>
        <v>0.41142902508819346</v>
      </c>
    </row>
    <row r="34" spans="1:53" x14ac:dyDescent="0.2">
      <c r="A34" s="1">
        <v>74</v>
      </c>
      <c r="B34" s="1">
        <v>1</v>
      </c>
      <c r="D34"/>
      <c r="E34"/>
      <c r="H34" s="8">
        <f t="shared" si="3"/>
        <v>5.1755614677576816</v>
      </c>
      <c r="I34" s="39">
        <f t="shared" si="4"/>
        <v>176.8959077474486</v>
      </c>
      <c r="J34" s="8">
        <f t="shared" si="5"/>
        <v>0.99437873522408593</v>
      </c>
      <c r="K34" s="8">
        <f t="shared" si="6"/>
        <v>0.99437873522408593</v>
      </c>
      <c r="L34" s="10">
        <f t="shared" si="10"/>
        <v>-5.6371235435660281E-3</v>
      </c>
      <c r="M34" s="44">
        <f t="shared" si="11"/>
        <v>34</v>
      </c>
      <c r="N34" s="1" t="str">
        <f t="shared" si="7"/>
        <v/>
      </c>
      <c r="O34" s="1">
        <f t="shared" si="8"/>
        <v>74</v>
      </c>
      <c r="P34" s="73"/>
      <c r="Q34" s="39">
        <f t="shared" si="20"/>
        <v>81</v>
      </c>
      <c r="R34" s="13">
        <f t="shared" si="13"/>
        <v>10.709183931303428</v>
      </c>
      <c r="S34" s="8">
        <f t="shared" si="14"/>
        <v>44765.092584643222</v>
      </c>
      <c r="T34" s="23">
        <f t="shared" si="15"/>
        <v>0.99997766166439228</v>
      </c>
      <c r="U34" s="8">
        <f t="shared" si="16"/>
        <v>1.7899270323671215</v>
      </c>
      <c r="V34" s="8">
        <f t="shared" si="17"/>
        <v>2.9134993446920099</v>
      </c>
      <c r="W34" s="8">
        <f t="shared" si="18"/>
        <v>0.99995945826253918</v>
      </c>
      <c r="X34" s="8">
        <f t="shared" si="19"/>
        <v>1</v>
      </c>
      <c r="AR34" s="1"/>
      <c r="AS34" s="1">
        <v>67</v>
      </c>
      <c r="AT34" s="1">
        <v>1</v>
      </c>
      <c r="AU34" s="27">
        <f>SUM(AT$2:AT34)/COUNTA(AS$2:AS34)</f>
        <v>0.24242424242424243</v>
      </c>
      <c r="AV34" s="27">
        <f t="shared" si="9"/>
        <v>0.39128123338649656</v>
      </c>
      <c r="AW34" s="4"/>
      <c r="AY34" s="13">
        <f t="shared" si="0"/>
        <v>-0.35806099578806538</v>
      </c>
      <c r="AZ34" s="36">
        <f t="shared" si="1"/>
        <v>0.69903043579381974</v>
      </c>
      <c r="BA34" s="23">
        <f t="shared" si="2"/>
        <v>0.41142902508819346</v>
      </c>
    </row>
    <row r="35" spans="1:53" x14ac:dyDescent="0.2">
      <c r="A35" s="1">
        <v>70</v>
      </c>
      <c r="B35" s="1">
        <v>0</v>
      </c>
      <c r="D35" s="31">
        <f>(D32-D26)/D26</f>
        <v>1.4297185281457434E-4</v>
      </c>
      <c r="E35" s="6" t="s">
        <v>47</v>
      </c>
      <c r="H35" s="8">
        <f t="shared" si="3"/>
        <v>2.0134914885886843</v>
      </c>
      <c r="I35" s="39">
        <f t="shared" si="4"/>
        <v>7.4894209784181367</v>
      </c>
      <c r="J35" s="8">
        <f t="shared" si="5"/>
        <v>0.88220633626931599</v>
      </c>
      <c r="K35" s="8">
        <f t="shared" si="6"/>
        <v>0.11779366373068401</v>
      </c>
      <c r="L35" s="10">
        <f t="shared" si="10"/>
        <v>-2.1388207975756091</v>
      </c>
      <c r="M35" s="44">
        <f t="shared" si="11"/>
        <v>35</v>
      </c>
      <c r="N35" s="1">
        <f t="shared" si="7"/>
        <v>70</v>
      </c>
      <c r="O35" s="1" t="str">
        <f t="shared" si="8"/>
        <v/>
      </c>
      <c r="P35" s="75"/>
      <c r="Q35" s="39">
        <f t="shared" si="20"/>
        <v>82</v>
      </c>
      <c r="R35" s="13">
        <f t="shared" si="13"/>
        <v>11.499701426095683</v>
      </c>
      <c r="S35" s="8">
        <f t="shared" si="14"/>
        <v>98686.301457230918</v>
      </c>
      <c r="T35" s="23">
        <f t="shared" si="15"/>
        <v>0.99998986698404724</v>
      </c>
      <c r="U35" s="8">
        <f t="shared" si="16"/>
        <v>1.8852131270377193</v>
      </c>
      <c r="V35" s="8">
        <f t="shared" si="17"/>
        <v>3.1002621231979082</v>
      </c>
      <c r="W35" s="8">
        <f t="shared" si="18"/>
        <v>0.9999807924732802</v>
      </c>
      <c r="X35" s="8">
        <f t="shared" si="19"/>
        <v>1</v>
      </c>
      <c r="AR35" s="1"/>
      <c r="AS35" s="1">
        <v>68</v>
      </c>
      <c r="AT35" s="1">
        <v>1</v>
      </c>
      <c r="AU35" s="27">
        <f>SUM(AT$2:AT35)/COUNTA(AS$2:AS35)</f>
        <v>0.26470588235294118</v>
      </c>
      <c r="AV35" s="27">
        <f t="shared" si="9"/>
        <v>0.4272445820433437</v>
      </c>
      <c r="AW35" s="4"/>
      <c r="AY35" s="13">
        <f t="shared" si="0"/>
        <v>0.43245649900418215</v>
      </c>
      <c r="AZ35" s="36">
        <f t="shared" si="1"/>
        <v>1.5410384371279797</v>
      </c>
      <c r="BA35" s="23">
        <f t="shared" si="2"/>
        <v>0.6064601048970143</v>
      </c>
    </row>
    <row r="36" spans="1:53" x14ac:dyDescent="0.2">
      <c r="A36" s="1">
        <v>67</v>
      </c>
      <c r="B36" s="1">
        <v>1</v>
      </c>
      <c r="D36" s="31">
        <f>-(D25-D30)/D30</f>
        <v>-1.0740631083818044</v>
      </c>
      <c r="E36" s="6" t="s">
        <v>34</v>
      </c>
      <c r="H36" s="8">
        <f t="shared" si="3"/>
        <v>-0.35806099578806538</v>
      </c>
      <c r="I36" s="39">
        <f t="shared" si="4"/>
        <v>0.69903043579381974</v>
      </c>
      <c r="J36" s="8">
        <f t="shared" si="5"/>
        <v>0.41142902508819346</v>
      </c>
      <c r="K36" s="8">
        <f t="shared" si="6"/>
        <v>0.41142902508819346</v>
      </c>
      <c r="L36" s="10">
        <f t="shared" si="10"/>
        <v>-0.88811875226315196</v>
      </c>
      <c r="M36" s="44">
        <f t="shared" si="11"/>
        <v>36</v>
      </c>
      <c r="N36" s="1" t="str">
        <f t="shared" si="7"/>
        <v/>
      </c>
      <c r="O36" s="1">
        <f t="shared" si="8"/>
        <v>67</v>
      </c>
      <c r="P36" s="75"/>
      <c r="Q36" s="39">
        <f t="shared" si="20"/>
        <v>83</v>
      </c>
      <c r="R36" s="13">
        <f t="shared" si="13"/>
        <v>12.290218920887924</v>
      </c>
      <c r="S36" s="8">
        <f t="shared" si="14"/>
        <v>217557.59975012991</v>
      </c>
      <c r="T36" s="23">
        <f t="shared" si="15"/>
        <v>0.99999540353724858</v>
      </c>
      <c r="U36" s="8">
        <f t="shared" si="16"/>
        <v>1.9804992217083166</v>
      </c>
      <c r="V36" s="8">
        <f t="shared" si="17"/>
        <v>3.2870249017038065</v>
      </c>
      <c r="W36" s="8">
        <f t="shared" si="18"/>
        <v>0.99999090012012715</v>
      </c>
      <c r="X36" s="8">
        <f t="shared" si="19"/>
        <v>1</v>
      </c>
      <c r="AR36" s="1"/>
      <c r="AS36" s="1">
        <v>68</v>
      </c>
      <c r="AT36" s="1">
        <v>1</v>
      </c>
      <c r="AU36" s="27">
        <f>SUM(AT$2:AT36)/COUNTA(AS$2:AS36)</f>
        <v>0.2857142857142857</v>
      </c>
      <c r="AV36" s="27">
        <f t="shared" si="9"/>
        <v>0.46115288220551376</v>
      </c>
      <c r="AW36" s="4"/>
      <c r="AY36" s="13">
        <f t="shared" si="0"/>
        <v>0.43245649900418215</v>
      </c>
      <c r="AZ36" s="36">
        <f t="shared" si="1"/>
        <v>1.5410384371279797</v>
      </c>
      <c r="BA36" s="23">
        <f t="shared" si="2"/>
        <v>0.6064601048970143</v>
      </c>
    </row>
    <row r="37" spans="1:53" x14ac:dyDescent="0.2">
      <c r="A37" s="1">
        <v>71</v>
      </c>
      <c r="B37" s="1">
        <v>1</v>
      </c>
      <c r="D37" s="33"/>
      <c r="E37" s="33"/>
      <c r="F37" s="33"/>
      <c r="G37" s="33"/>
      <c r="H37" s="8">
        <f t="shared" si="3"/>
        <v>2.8040089833809319</v>
      </c>
      <c r="I37" s="39">
        <f t="shared" si="4"/>
        <v>16.510705412230681</v>
      </c>
      <c r="J37" s="8">
        <f t="shared" si="5"/>
        <v>0.94289207793413443</v>
      </c>
      <c r="K37" s="8">
        <f t="shared" si="6"/>
        <v>0.94289207793413443</v>
      </c>
      <c r="L37" s="10">
        <f t="shared" si="10"/>
        <v>-5.8803448354969971E-2</v>
      </c>
      <c r="M37" s="44">
        <f t="shared" si="11"/>
        <v>37</v>
      </c>
      <c r="N37" s="1" t="str">
        <f t="shared" si="7"/>
        <v/>
      </c>
      <c r="O37" s="1">
        <f t="shared" si="8"/>
        <v>71</v>
      </c>
      <c r="P37" s="75"/>
      <c r="Q37" s="39">
        <f t="shared" si="20"/>
        <v>84</v>
      </c>
      <c r="R37" s="13">
        <f t="shared" si="13"/>
        <v>13.080736415680178</v>
      </c>
      <c r="S37" s="8">
        <f t="shared" si="14"/>
        <v>479613.77121373871</v>
      </c>
      <c r="T37" s="23">
        <f t="shared" si="15"/>
        <v>0.9999979149933238</v>
      </c>
      <c r="U37" s="8">
        <f t="shared" si="16"/>
        <v>2.0757853163789139</v>
      </c>
      <c r="V37" s="8">
        <f t="shared" si="17"/>
        <v>3.4737876802097047</v>
      </c>
      <c r="W37" s="8">
        <f t="shared" si="18"/>
        <v>0.99999568880603706</v>
      </c>
      <c r="X37" s="8">
        <f t="shared" si="19"/>
        <v>1</v>
      </c>
      <c r="AR37" s="1"/>
      <c r="AS37" s="1">
        <v>68</v>
      </c>
      <c r="AT37" s="1">
        <v>1</v>
      </c>
      <c r="AU37" s="27">
        <f>SUM(AT$2:AT37)/COUNTA(AS$2:AS37)</f>
        <v>0.30555555555555558</v>
      </c>
      <c r="AV37" s="27">
        <f t="shared" si="9"/>
        <v>0.4931773879142301</v>
      </c>
      <c r="AW37" s="4"/>
      <c r="AY37" s="13">
        <f t="shared" si="0"/>
        <v>0.43245649900418215</v>
      </c>
      <c r="AZ37" s="36">
        <f t="shared" si="1"/>
        <v>1.5410384371279797</v>
      </c>
      <c r="BA37" s="23">
        <f t="shared" si="2"/>
        <v>0.6064601048970143</v>
      </c>
    </row>
    <row r="38" spans="1:53" x14ac:dyDescent="0.2">
      <c r="A38" s="1">
        <v>69.5</v>
      </c>
      <c r="B38" s="1">
        <v>1</v>
      </c>
      <c r="D38" s="28" t="s">
        <v>62</v>
      </c>
      <c r="H38" s="8">
        <f t="shared" si="3"/>
        <v>1.618232741192557</v>
      </c>
      <c r="I38" s="39">
        <f t="shared" si="4"/>
        <v>5.0441680844659054</v>
      </c>
      <c r="J38" s="8">
        <f t="shared" si="5"/>
        <v>0.83455125899458416</v>
      </c>
      <c r="K38" s="8">
        <f t="shared" si="6"/>
        <v>0.83455125899458416</v>
      </c>
      <c r="L38" s="10">
        <f t="shared" si="10"/>
        <v>-0.18086111296789029</v>
      </c>
      <c r="M38" s="44">
        <f t="shared" si="11"/>
        <v>38</v>
      </c>
      <c r="N38" s="1" t="str">
        <f t="shared" si="7"/>
        <v/>
      </c>
      <c r="O38" s="1">
        <f t="shared" si="8"/>
        <v>69.5</v>
      </c>
      <c r="P38" s="75"/>
      <c r="Q38" s="39">
        <f t="shared" si="20"/>
        <v>85</v>
      </c>
      <c r="R38" s="13">
        <f t="shared" si="13"/>
        <v>13.871253910472419</v>
      </c>
      <c r="S38" s="8">
        <f t="shared" si="14"/>
        <v>1057326.2887715963</v>
      </c>
      <c r="T38" s="23">
        <f t="shared" si="15"/>
        <v>0.99999905421905722</v>
      </c>
      <c r="U38" s="8">
        <f t="shared" si="16"/>
        <v>2.1710714110495117</v>
      </c>
      <c r="V38" s="8">
        <f t="shared" si="17"/>
        <v>3.660550458715603</v>
      </c>
      <c r="W38" s="8">
        <f t="shared" si="18"/>
        <v>0.99999795751737297</v>
      </c>
      <c r="X38" s="8">
        <f t="shared" si="19"/>
        <v>1</v>
      </c>
      <c r="AD38" s="11"/>
      <c r="AR38" s="1"/>
      <c r="AS38" s="1">
        <v>68</v>
      </c>
      <c r="AT38" s="1">
        <v>0</v>
      </c>
      <c r="AU38" s="27">
        <f>SUM(AT$2:AT38)/COUNTA(AS$2:AS38)</f>
        <v>0.29729729729729731</v>
      </c>
      <c r="AV38" s="27">
        <f t="shared" si="9"/>
        <v>0.47984826932195357</v>
      </c>
      <c r="AW38" s="4"/>
      <c r="AY38" s="13">
        <f t="shared" si="0"/>
        <v>0.43245649900418215</v>
      </c>
      <c r="AZ38" s="36">
        <f t="shared" si="1"/>
        <v>1.5410384371279797</v>
      </c>
      <c r="BA38" s="23">
        <f t="shared" si="2"/>
        <v>0.6064601048970143</v>
      </c>
    </row>
    <row r="39" spans="1:53" x14ac:dyDescent="0.2">
      <c r="A39" s="1">
        <v>72</v>
      </c>
      <c r="B39" s="1">
        <v>1</v>
      </c>
      <c r="D39" s="3">
        <f>AVERAGEIF(B3:B94,"=1",A3:A94)</f>
        <v>70.754385964912274</v>
      </c>
      <c r="E39" t="str">
        <f ca="1">_xlfn.FORMULATEXT(D39)</f>
        <v>=AVERAGEIF(B3:B94,"=1",A3:A94)</v>
      </c>
      <c r="H39" s="8">
        <f t="shared" si="3"/>
        <v>3.5945264781731794</v>
      </c>
      <c r="I39" s="39">
        <f t="shared" si="4"/>
        <v>36.398460441068814</v>
      </c>
      <c r="J39" s="8">
        <f t="shared" si="5"/>
        <v>0.97326093138043035</v>
      </c>
      <c r="K39" s="8">
        <f t="shared" si="6"/>
        <v>0.97326093138043035</v>
      </c>
      <c r="L39" s="10">
        <f t="shared" si="10"/>
        <v>-2.7103060722713894E-2</v>
      </c>
      <c r="M39" s="44">
        <f t="shared" si="11"/>
        <v>39</v>
      </c>
      <c r="N39" s="1" t="str">
        <f t="shared" si="7"/>
        <v/>
      </c>
      <c r="O39" s="1">
        <f t="shared" si="8"/>
        <v>72</v>
      </c>
      <c r="P39" s="73"/>
      <c r="Q39" s="39">
        <f t="shared" si="20"/>
        <v>86</v>
      </c>
      <c r="R39" s="13">
        <f t="shared" si="13"/>
        <v>14.661771405264673</v>
      </c>
      <c r="S39" s="8">
        <f t="shared" si="14"/>
        <v>2330914.8903260459</v>
      </c>
      <c r="T39" s="23">
        <f t="shared" si="15"/>
        <v>0.99999957098409076</v>
      </c>
      <c r="U39" s="8">
        <f t="shared" si="16"/>
        <v>2.2663575057201091</v>
      </c>
      <c r="V39" s="8">
        <f t="shared" si="17"/>
        <v>3.8473132372215009</v>
      </c>
      <c r="W39" s="8">
        <f t="shared" si="18"/>
        <v>0.99999903234919674</v>
      </c>
      <c r="X39" s="8">
        <f t="shared" si="19"/>
        <v>1</v>
      </c>
      <c r="AD39" s="8"/>
      <c r="AR39" s="1"/>
      <c r="AS39" s="1">
        <v>68</v>
      </c>
      <c r="AT39" s="1">
        <v>0</v>
      </c>
      <c r="AU39" s="27">
        <f>SUM(AT$2:AT39)/COUNTA(AS$2:AS39)</f>
        <v>0.28947368421052633</v>
      </c>
      <c r="AV39" s="27">
        <f t="shared" si="9"/>
        <v>0.46722068328716532</v>
      </c>
      <c r="AW39" s="4"/>
      <c r="AY39" s="13">
        <f t="shared" si="0"/>
        <v>0.43245649900418215</v>
      </c>
      <c r="AZ39" s="36">
        <f t="shared" si="1"/>
        <v>1.5410384371279797</v>
      </c>
      <c r="BA39" s="23">
        <f t="shared" si="2"/>
        <v>0.6064601048970143</v>
      </c>
    </row>
    <row r="40" spans="1:53" x14ac:dyDescent="0.2">
      <c r="A40" s="1">
        <v>68</v>
      </c>
      <c r="B40" s="1">
        <v>1</v>
      </c>
      <c r="D40" s="4">
        <f>AVERAGEIF(B3:B94,"=0",A3:A94)</f>
        <v>65.400000000000006</v>
      </c>
      <c r="E40" t="str">
        <f ca="1">_xlfn.FORMULATEXT(D40)</f>
        <v>=AVERAGEIF(B3:B94,"=0",A3:A94)</v>
      </c>
      <c r="H40" s="8">
        <f t="shared" si="3"/>
        <v>0.43245649900418215</v>
      </c>
      <c r="I40" s="39">
        <f t="shared" si="4"/>
        <v>1.5410384371279797</v>
      </c>
      <c r="J40" s="8">
        <f t="shared" si="5"/>
        <v>0.6064601048970143</v>
      </c>
      <c r="K40" s="8">
        <f t="shared" si="6"/>
        <v>0.6064601048970143</v>
      </c>
      <c r="L40" s="10">
        <f t="shared" si="10"/>
        <v>-0.50011633199156535</v>
      </c>
      <c r="M40" s="44">
        <f t="shared" si="11"/>
        <v>40</v>
      </c>
      <c r="N40" s="1" t="str">
        <f t="shared" si="7"/>
        <v/>
      </c>
      <c r="O40" s="1">
        <f t="shared" si="8"/>
        <v>68</v>
      </c>
      <c r="P40" s="75"/>
      <c r="Q40" s="39">
        <f t="shared" si="20"/>
        <v>87</v>
      </c>
      <c r="R40" s="13">
        <f t="shared" si="13"/>
        <v>15.452288900056928</v>
      </c>
      <c r="S40" s="8">
        <f t="shared" si="14"/>
        <v>5138588.043862924</v>
      </c>
      <c r="T40" s="23">
        <f t="shared" si="15"/>
        <v>0.99999980539405053</v>
      </c>
      <c r="U40" s="8">
        <f t="shared" si="16"/>
        <v>2.3616436003907069</v>
      </c>
      <c r="V40" s="8">
        <f t="shared" si="17"/>
        <v>4.0340760157273996</v>
      </c>
      <c r="W40" s="8">
        <f t="shared" si="18"/>
        <v>0.99999954156400894</v>
      </c>
      <c r="X40" s="8">
        <f t="shared" si="19"/>
        <v>1</v>
      </c>
      <c r="AD40" s="8"/>
      <c r="AR40" s="1"/>
      <c r="AS40" s="1">
        <v>68</v>
      </c>
      <c r="AT40" s="1">
        <v>0</v>
      </c>
      <c r="AU40" s="27">
        <f>SUM(AT$2:AT40)/COUNTA(AS$2:AS40)</f>
        <v>0.28205128205128205</v>
      </c>
      <c r="AV40" s="27">
        <f t="shared" si="9"/>
        <v>0.45524066576698158</v>
      </c>
      <c r="AW40" s="4"/>
      <c r="AY40" s="13">
        <f t="shared" si="0"/>
        <v>0.43245649900418215</v>
      </c>
      <c r="AZ40" s="36">
        <f t="shared" si="1"/>
        <v>1.5410384371279797</v>
      </c>
      <c r="BA40" s="23">
        <f t="shared" si="2"/>
        <v>0.6064601048970143</v>
      </c>
    </row>
    <row r="41" spans="1:53" x14ac:dyDescent="0.2">
      <c r="A41" s="1">
        <v>69</v>
      </c>
      <c r="B41" s="1">
        <v>0</v>
      </c>
      <c r="D41" s="4">
        <f>D39-D40</f>
        <v>5.354385964912268</v>
      </c>
      <c r="E41" s="6" t="s">
        <v>29</v>
      </c>
      <c r="F41" s="1" t="str">
        <f ca="1">_xlfn.FORMULATEXT(D41)</f>
        <v>=D39-D40</v>
      </c>
      <c r="H41" s="8">
        <f t="shared" si="3"/>
        <v>1.2229739937964297</v>
      </c>
      <c r="I41" s="39">
        <f t="shared" si="4"/>
        <v>3.397276203015426</v>
      </c>
      <c r="J41" s="8">
        <f t="shared" si="5"/>
        <v>0.77258649358567655</v>
      </c>
      <c r="K41" s="8">
        <f t="shared" si="6"/>
        <v>0.22741350641432345</v>
      </c>
      <c r="L41" s="10">
        <f t="shared" si="10"/>
        <v>-1.4809853044676677</v>
      </c>
      <c r="M41" s="44">
        <f t="shared" si="11"/>
        <v>41</v>
      </c>
      <c r="N41" s="1">
        <f t="shared" si="7"/>
        <v>69</v>
      </c>
      <c r="O41" s="1" t="str">
        <f t="shared" si="8"/>
        <v/>
      </c>
      <c r="P41" s="73"/>
      <c r="Q41" s="39">
        <f t="shared" si="20"/>
        <v>88</v>
      </c>
      <c r="R41" s="13">
        <f t="shared" si="13"/>
        <v>16.242806394849168</v>
      </c>
      <c r="S41" s="8">
        <f t="shared" si="14"/>
        <v>11328207.303543845</v>
      </c>
      <c r="T41" s="23">
        <f t="shared" si="15"/>
        <v>0.99999991172478708</v>
      </c>
      <c r="U41" s="8">
        <f t="shared" si="16"/>
        <v>2.4569296950613042</v>
      </c>
      <c r="V41" s="8">
        <f t="shared" si="17"/>
        <v>4.2208387942332974</v>
      </c>
      <c r="W41" s="8">
        <f t="shared" si="18"/>
        <v>0.99999978281059565</v>
      </c>
      <c r="X41" s="8">
        <f t="shared" si="19"/>
        <v>1</v>
      </c>
      <c r="AD41" s="8"/>
      <c r="AR41" s="1"/>
      <c r="AS41" s="1">
        <v>68</v>
      </c>
      <c r="AT41" s="1">
        <v>0</v>
      </c>
      <c r="AU41" s="27">
        <f>SUM(AT$2:AT41)/COUNTA(AS$2:AS41)</f>
        <v>0.27500000000000002</v>
      </c>
      <c r="AV41" s="27">
        <f t="shared" si="9"/>
        <v>0.44385964912280707</v>
      </c>
      <c r="AW41" s="4"/>
      <c r="AY41" s="13">
        <f t="shared" si="0"/>
        <v>0.43245649900418215</v>
      </c>
      <c r="AZ41" s="36">
        <f t="shared" si="1"/>
        <v>1.5410384371279797</v>
      </c>
      <c r="BA41" s="23">
        <f t="shared" si="2"/>
        <v>0.6064601048970143</v>
      </c>
    </row>
    <row r="42" spans="1:53" x14ac:dyDescent="0.2">
      <c r="A42" s="1">
        <v>62</v>
      </c>
      <c r="B42" s="1">
        <v>0</v>
      </c>
      <c r="D42" s="46">
        <f>1/D41</f>
        <v>0.1867627785058982</v>
      </c>
      <c r="E42" s="57" t="s">
        <v>16</v>
      </c>
      <c r="F42" s="15" t="str">
        <f t="shared" ref="F42:F43" ca="1" si="21">_xlfn.FORMULATEXT(D42)</f>
        <v>=1/D41</v>
      </c>
      <c r="H42" s="8">
        <f t="shared" si="3"/>
        <v>-4.3106484697493173</v>
      </c>
      <c r="I42" s="39">
        <f t="shared" si="4"/>
        <v>1.342484116758828E-2</v>
      </c>
      <c r="J42" s="8">
        <f t="shared" si="5"/>
        <v>1.3247002266217625E-2</v>
      </c>
      <c r="K42" s="8">
        <f t="shared" si="6"/>
        <v>0.98675299773378233</v>
      </c>
      <c r="L42" s="10">
        <f t="shared" si="10"/>
        <v>-1.333552645668367E-2</v>
      </c>
      <c r="M42" s="44">
        <f t="shared" si="11"/>
        <v>42</v>
      </c>
      <c r="N42" s="1">
        <f t="shared" si="7"/>
        <v>62</v>
      </c>
      <c r="O42" s="1" t="str">
        <f t="shared" si="8"/>
        <v/>
      </c>
      <c r="P42" s="73"/>
      <c r="Q42" s="39">
        <f t="shared" si="20"/>
        <v>89</v>
      </c>
      <c r="R42" s="13">
        <f t="shared" si="13"/>
        <v>17.033323889641423</v>
      </c>
      <c r="S42" s="8">
        <f t="shared" si="14"/>
        <v>24973451.776374627</v>
      </c>
      <c r="T42" s="23">
        <f t="shared" si="15"/>
        <v>0.99999995995747926</v>
      </c>
      <c r="U42" s="8">
        <f t="shared" si="16"/>
        <v>2.5522157897319016</v>
      </c>
      <c r="V42" s="8">
        <f t="shared" si="17"/>
        <v>4.4076015727391962</v>
      </c>
      <c r="W42" s="8">
        <f t="shared" si="18"/>
        <v>0.99999989710399639</v>
      </c>
      <c r="X42" s="8">
        <f t="shared" si="19"/>
        <v>1</v>
      </c>
      <c r="AD42" s="8"/>
      <c r="AR42" s="1"/>
      <c r="AS42" s="1">
        <v>68</v>
      </c>
      <c r="AT42" s="1">
        <v>0</v>
      </c>
      <c r="AU42" s="27">
        <f>SUM(AT$2:AT42)/COUNTA(AS$2:AS42)</f>
        <v>0.26829268292682928</v>
      </c>
      <c r="AV42" s="27">
        <f t="shared" si="9"/>
        <v>0.43303380402225078</v>
      </c>
      <c r="AW42" s="4"/>
      <c r="AY42" s="13">
        <f t="shared" si="0"/>
        <v>0.43245649900418215</v>
      </c>
      <c r="AZ42" s="36">
        <f t="shared" si="1"/>
        <v>1.5410384371279797</v>
      </c>
      <c r="BA42" s="23">
        <f t="shared" si="2"/>
        <v>0.6064601048970143</v>
      </c>
    </row>
    <row r="43" spans="1:53" x14ac:dyDescent="0.2">
      <c r="A43" s="1">
        <v>73</v>
      </c>
      <c r="B43" s="1">
        <v>1</v>
      </c>
      <c r="D43" s="28">
        <f>AVERAGE(D39:D40)</f>
        <v>68.07719298245614</v>
      </c>
      <c r="E43" s="57" t="s">
        <v>87</v>
      </c>
      <c r="F43" s="15" t="str">
        <f t="shared" ca="1" si="21"/>
        <v>=AVERAGE(D39:D40)</v>
      </c>
      <c r="H43" s="8">
        <f t="shared" si="3"/>
        <v>4.385043972965434</v>
      </c>
      <c r="I43" s="39">
        <f t="shared" si="4"/>
        <v>80.241751603093206</v>
      </c>
      <c r="J43" s="8">
        <f t="shared" si="5"/>
        <v>0.98769105810414448</v>
      </c>
      <c r="K43" s="8">
        <f t="shared" si="6"/>
        <v>0.98769105810414448</v>
      </c>
      <c r="L43" s="10">
        <f t="shared" si="10"/>
        <v>-1.2385324359877211E-2</v>
      </c>
      <c r="M43" s="44">
        <f t="shared" si="11"/>
        <v>43</v>
      </c>
      <c r="N43" s="1" t="str">
        <f t="shared" si="7"/>
        <v/>
      </c>
      <c r="O43" s="1">
        <f t="shared" si="8"/>
        <v>73</v>
      </c>
      <c r="P43" s="73"/>
      <c r="Q43" s="39">
        <f t="shared" si="20"/>
        <v>90</v>
      </c>
      <c r="R43" s="13">
        <f t="shared" si="13"/>
        <v>17.823841384433678</v>
      </c>
      <c r="S43" s="8">
        <f t="shared" si="14"/>
        <v>55054897.647556551</v>
      </c>
      <c r="T43" s="23">
        <f t="shared" si="15"/>
        <v>0.999999981836312</v>
      </c>
      <c r="U43" s="8">
        <f t="shared" si="16"/>
        <v>2.6475018844024993</v>
      </c>
      <c r="V43" s="8">
        <f t="shared" si="17"/>
        <v>4.594364351245094</v>
      </c>
      <c r="W43" s="8">
        <f t="shared" si="18"/>
        <v>0.99999995125182572</v>
      </c>
      <c r="X43" s="8">
        <f t="shared" si="19"/>
        <v>1</v>
      </c>
      <c r="AD43" s="8"/>
      <c r="AR43" s="1"/>
      <c r="AS43" s="1">
        <v>68</v>
      </c>
      <c r="AT43" s="1">
        <v>1</v>
      </c>
      <c r="AU43" s="27">
        <f>SUM(AT$2:AT43)/COUNTA(AS$2:AS43)</f>
        <v>0.2857142857142857</v>
      </c>
      <c r="AV43" s="27">
        <f t="shared" si="9"/>
        <v>0.46115288220551376</v>
      </c>
      <c r="AW43" s="4"/>
      <c r="AY43" s="13">
        <f t="shared" si="0"/>
        <v>0.43245649900418215</v>
      </c>
      <c r="AZ43" s="36">
        <f t="shared" si="1"/>
        <v>1.5410384371279797</v>
      </c>
      <c r="BA43" s="23">
        <f t="shared" si="2"/>
        <v>0.6064601048970143</v>
      </c>
    </row>
    <row r="44" spans="1:53" x14ac:dyDescent="0.2">
      <c r="A44" s="1">
        <v>71</v>
      </c>
      <c r="B44" s="1">
        <v>1</v>
      </c>
      <c r="H44" s="8">
        <f t="shared" si="3"/>
        <v>2.8040089833809319</v>
      </c>
      <c r="I44" s="39">
        <f t="shared" si="4"/>
        <v>16.510705412230681</v>
      </c>
      <c r="J44" s="8">
        <f t="shared" si="5"/>
        <v>0.94289207793413443</v>
      </c>
      <c r="K44" s="8">
        <f t="shared" si="6"/>
        <v>0.94289207793413443</v>
      </c>
      <c r="L44" s="10">
        <f t="shared" si="10"/>
        <v>-5.8803448354969971E-2</v>
      </c>
      <c r="M44" s="44">
        <f t="shared" si="11"/>
        <v>44</v>
      </c>
      <c r="N44" s="1" t="str">
        <f t="shared" si="7"/>
        <v/>
      </c>
      <c r="O44" s="1">
        <f t="shared" si="8"/>
        <v>71</v>
      </c>
      <c r="P44" s="73"/>
      <c r="Q44" s="39">
        <f t="shared" si="20"/>
        <v>91</v>
      </c>
      <c r="R44" s="13">
        <f t="shared" si="13"/>
        <v>18.614358879225918</v>
      </c>
      <c r="S44" s="8">
        <f t="shared" si="14"/>
        <v>121370557.10697988</v>
      </c>
      <c r="T44" s="23">
        <f t="shared" si="15"/>
        <v>0.99999999176076948</v>
      </c>
      <c r="U44" s="8">
        <f t="shared" si="16"/>
        <v>2.7427879790730967</v>
      </c>
      <c r="V44" s="8">
        <f t="shared" si="17"/>
        <v>4.7811271297509927</v>
      </c>
      <c r="W44" s="8">
        <f t="shared" si="18"/>
        <v>0.99999997690498821</v>
      </c>
      <c r="X44" s="8">
        <f t="shared" si="19"/>
        <v>1</v>
      </c>
      <c r="AD44" s="8"/>
      <c r="AR44" s="1"/>
      <c r="AS44" s="1">
        <v>68</v>
      </c>
      <c r="AT44" s="1">
        <v>0</v>
      </c>
      <c r="AU44" s="27">
        <f>SUM(AT$2:AT44)/COUNTA(AS$2:AS44)</f>
        <v>0.27906976744186046</v>
      </c>
      <c r="AV44" s="27">
        <f t="shared" si="9"/>
        <v>0.45042839657282741</v>
      </c>
      <c r="AW44" s="4"/>
      <c r="AY44" s="13">
        <f t="shared" si="0"/>
        <v>0.43245649900418215</v>
      </c>
      <c r="AZ44" s="36">
        <f t="shared" si="1"/>
        <v>1.5410384371279797</v>
      </c>
      <c r="BA44" s="23">
        <f t="shared" si="2"/>
        <v>0.6064601048970143</v>
      </c>
    </row>
    <row r="45" spans="1:53" x14ac:dyDescent="0.2">
      <c r="A45" s="1">
        <v>75</v>
      </c>
      <c r="B45" s="1">
        <v>1</v>
      </c>
      <c r="D45" s="42" t="s">
        <v>66</v>
      </c>
      <c r="H45" s="8">
        <f t="shared" si="3"/>
        <v>5.9660789625499291</v>
      </c>
      <c r="I45" s="39">
        <f t="shared" si="4"/>
        <v>389.97356803197664</v>
      </c>
      <c r="J45" s="8">
        <f t="shared" si="5"/>
        <v>0.99744228233884547</v>
      </c>
      <c r="K45" s="8">
        <f t="shared" si="6"/>
        <v>0.99744228233884547</v>
      </c>
      <c r="L45" s="10">
        <f t="shared" si="10"/>
        <v>-2.5609942091538718E-3</v>
      </c>
      <c r="M45" s="44">
        <f t="shared" si="11"/>
        <v>45</v>
      </c>
      <c r="N45" s="1" t="str">
        <f t="shared" si="7"/>
        <v/>
      </c>
      <c r="O45" s="1">
        <f t="shared" si="8"/>
        <v>75</v>
      </c>
      <c r="P45" s="73"/>
      <c r="Q45" s="39">
        <f t="shared" si="20"/>
        <v>92</v>
      </c>
      <c r="R45" s="13">
        <f t="shared" si="13"/>
        <v>19.404876374018173</v>
      </c>
      <c r="S45" s="8">
        <f t="shared" si="14"/>
        <v>267565879.91064328</v>
      </c>
      <c r="T45" s="23">
        <f t="shared" si="15"/>
        <v>0.99999999626260272</v>
      </c>
      <c r="U45" s="8">
        <f t="shared" si="16"/>
        <v>2.838074073743694</v>
      </c>
      <c r="V45" s="8">
        <f t="shared" si="17"/>
        <v>4.9678899082568906</v>
      </c>
      <c r="W45" s="8">
        <f t="shared" si="18"/>
        <v>0.99999998905847087</v>
      </c>
      <c r="X45" s="8">
        <f t="shared" si="19"/>
        <v>1</v>
      </c>
      <c r="AD45" s="8"/>
      <c r="AR45" s="1"/>
      <c r="AS45" s="1">
        <v>69</v>
      </c>
      <c r="AT45" s="1">
        <v>1</v>
      </c>
      <c r="AU45" s="27">
        <f>SUM(AT$2:AT45)/COUNTA(AS$2:AS45)</f>
        <v>0.29545454545454547</v>
      </c>
      <c r="AV45" s="27">
        <f t="shared" si="9"/>
        <v>0.47687400318979273</v>
      </c>
      <c r="AW45" s="4"/>
      <c r="AY45" s="13">
        <f t="shared" si="0"/>
        <v>1.2229739937964297</v>
      </c>
      <c r="AZ45" s="36">
        <f t="shared" si="1"/>
        <v>3.397276203015426</v>
      </c>
      <c r="BA45" s="23">
        <f t="shared" si="2"/>
        <v>0.77258649358567655</v>
      </c>
    </row>
    <row r="46" spans="1:53" x14ac:dyDescent="0.2">
      <c r="A46" s="1">
        <v>66</v>
      </c>
      <c r="B46" s="1">
        <v>1</v>
      </c>
      <c r="D46" s="31">
        <f>(D43-D26)/D26</f>
        <v>9.2545687924837847E-3</v>
      </c>
      <c r="E46" s="6" t="s">
        <v>36</v>
      </c>
      <c r="H46" s="8">
        <f t="shared" si="3"/>
        <v>-1.1485784905803129</v>
      </c>
      <c r="I46" s="39">
        <f t="shared" si="4"/>
        <v>0.31708719159320803</v>
      </c>
      <c r="J46" s="8">
        <f t="shared" si="5"/>
        <v>0.24074882332554237</v>
      </c>
      <c r="K46" s="8">
        <f t="shared" si="6"/>
        <v>0.24074882332554237</v>
      </c>
      <c r="L46" s="10">
        <f t="shared" si="10"/>
        <v>-1.4240011158525341</v>
      </c>
      <c r="M46" s="44">
        <f t="shared" si="11"/>
        <v>46</v>
      </c>
      <c r="N46" s="1" t="str">
        <f t="shared" si="7"/>
        <v/>
      </c>
      <c r="O46" s="1">
        <f t="shared" si="8"/>
        <v>66</v>
      </c>
      <c r="P46" s="73"/>
      <c r="Q46" s="39">
        <f t="shared" si="20"/>
        <v>93</v>
      </c>
      <c r="R46" s="13">
        <f t="shared" si="13"/>
        <v>20.195393868810427</v>
      </c>
      <c r="S46" s="8">
        <f t="shared" si="14"/>
        <v>589858873.50960863</v>
      </c>
      <c r="T46" s="23">
        <f t="shared" si="15"/>
        <v>0.99999999830467923</v>
      </c>
      <c r="U46" s="8">
        <f t="shared" si="16"/>
        <v>2.9333601684142918</v>
      </c>
      <c r="V46" s="8">
        <f t="shared" si="17"/>
        <v>5.1546526867627893</v>
      </c>
      <c r="W46" s="8">
        <f t="shared" si="18"/>
        <v>0.99999999481632407</v>
      </c>
      <c r="X46" s="8">
        <f t="shared" si="19"/>
        <v>1</v>
      </c>
      <c r="AD46" s="8"/>
      <c r="AR46" s="1"/>
      <c r="AS46" s="1">
        <v>69</v>
      </c>
      <c r="AT46" s="1">
        <v>1</v>
      </c>
      <c r="AU46" s="27">
        <f>SUM(AT$2:AT46)/COUNTA(AS$2:AS46)</f>
        <v>0.31111111111111112</v>
      </c>
      <c r="AV46" s="27">
        <f t="shared" si="9"/>
        <v>0.50214424951267056</v>
      </c>
      <c r="AW46" s="4"/>
      <c r="AY46" s="13">
        <f t="shared" si="0"/>
        <v>1.2229739937964297</v>
      </c>
      <c r="AZ46" s="36">
        <f t="shared" si="1"/>
        <v>3.397276203015426</v>
      </c>
      <c r="BA46" s="23">
        <f t="shared" si="2"/>
        <v>0.77258649358567655</v>
      </c>
    </row>
    <row r="47" spans="1:53" x14ac:dyDescent="0.2">
      <c r="A47" s="1">
        <v>70</v>
      </c>
      <c r="B47" s="1">
        <v>1</v>
      </c>
      <c r="D47" s="31">
        <f>(D42-D25)/D25</f>
        <v>-5.4984717042954025E-2</v>
      </c>
      <c r="E47" s="6" t="s">
        <v>37</v>
      </c>
      <c r="H47" s="8">
        <f t="shared" si="3"/>
        <v>2.0134914885886843</v>
      </c>
      <c r="I47" s="39">
        <f t="shared" si="4"/>
        <v>7.4894209784181367</v>
      </c>
      <c r="J47" s="8">
        <f t="shared" si="5"/>
        <v>0.88220633626931599</v>
      </c>
      <c r="K47" s="8">
        <f t="shared" si="6"/>
        <v>0.88220633626931599</v>
      </c>
      <c r="L47" s="10">
        <f t="shared" si="10"/>
        <v>-0.12532930898692515</v>
      </c>
      <c r="M47" s="44">
        <f t="shared" si="11"/>
        <v>47</v>
      </c>
      <c r="N47" s="1" t="str">
        <f t="shared" si="7"/>
        <v/>
      </c>
      <c r="O47" s="1">
        <f t="shared" si="8"/>
        <v>70</v>
      </c>
      <c r="P47" s="73"/>
      <c r="Q47" s="39">
        <f t="shared" si="20"/>
        <v>94</v>
      </c>
      <c r="R47" s="13">
        <f t="shared" si="13"/>
        <v>20.985911363602668</v>
      </c>
      <c r="S47" s="8">
        <f t="shared" si="14"/>
        <v>1300365692.2706885</v>
      </c>
      <c r="T47" s="23">
        <f t="shared" si="15"/>
        <v>0.99999999923098559</v>
      </c>
      <c r="U47" s="8">
        <f t="shared" si="16"/>
        <v>3.0286462630848892</v>
      </c>
      <c r="V47" s="8">
        <f t="shared" si="17"/>
        <v>5.3414154652686872</v>
      </c>
      <c r="W47" s="8">
        <f t="shared" si="18"/>
        <v>0.99999999754417357</v>
      </c>
      <c r="X47" s="8">
        <f t="shared" si="19"/>
        <v>1</v>
      </c>
      <c r="AD47" s="8"/>
      <c r="AR47" s="1"/>
      <c r="AS47" s="1">
        <v>69</v>
      </c>
      <c r="AT47" s="1">
        <v>1</v>
      </c>
      <c r="AU47" s="27">
        <f>SUM(AT$2:AT47)/COUNTA(AS$2:AS47)</f>
        <v>0.32608695652173914</v>
      </c>
      <c r="AV47" s="27">
        <f t="shared" si="9"/>
        <v>0.52631578947368429</v>
      </c>
      <c r="AW47" s="4"/>
      <c r="AY47" s="13">
        <f t="shared" si="0"/>
        <v>1.2229739937964297</v>
      </c>
      <c r="AZ47" s="36">
        <f t="shared" si="1"/>
        <v>3.397276203015426</v>
      </c>
      <c r="BA47" s="23">
        <f t="shared" si="2"/>
        <v>0.77258649358567655</v>
      </c>
    </row>
    <row r="48" spans="1:53" x14ac:dyDescent="0.2">
      <c r="A48" s="1">
        <v>75</v>
      </c>
      <c r="B48" s="1">
        <v>1</v>
      </c>
      <c r="D48" s="38"/>
      <c r="E48" s="38"/>
      <c r="F48" s="38"/>
      <c r="G48" s="38"/>
      <c r="H48" s="8">
        <f t="shared" si="3"/>
        <v>5.9660789625499291</v>
      </c>
      <c r="I48" s="39">
        <f t="shared" si="4"/>
        <v>389.97356803197664</v>
      </c>
      <c r="J48" s="8">
        <f t="shared" si="5"/>
        <v>0.99744228233884547</v>
      </c>
      <c r="K48" s="8">
        <f t="shared" si="6"/>
        <v>0.99744228233884547</v>
      </c>
      <c r="L48" s="10">
        <f t="shared" si="10"/>
        <v>-2.5609942091538718E-3</v>
      </c>
      <c r="M48" s="44">
        <f t="shared" si="11"/>
        <v>48</v>
      </c>
      <c r="N48" s="1" t="str">
        <f t="shared" si="7"/>
        <v/>
      </c>
      <c r="O48" s="1">
        <f t="shared" si="8"/>
        <v>75</v>
      </c>
      <c r="P48" s="73"/>
      <c r="Q48" s="39">
        <f t="shared" si="20"/>
        <v>95</v>
      </c>
      <c r="R48" s="13">
        <f t="shared" si="13"/>
        <v>21.776428858394922</v>
      </c>
      <c r="S48" s="8">
        <f t="shared" si="14"/>
        <v>2866704239.9034219</v>
      </c>
      <c r="T48" s="23">
        <f t="shared" si="15"/>
        <v>0.99999999965116737</v>
      </c>
      <c r="U48" s="8">
        <f t="shared" si="16"/>
        <v>3.1239323577554869</v>
      </c>
      <c r="V48" s="8">
        <f t="shared" si="17"/>
        <v>5.528178243774585</v>
      </c>
      <c r="W48" s="8">
        <f t="shared" si="18"/>
        <v>0.9999999988365238</v>
      </c>
      <c r="X48" s="8">
        <f t="shared" si="19"/>
        <v>1</v>
      </c>
      <c r="AD48" s="8"/>
      <c r="AR48" s="1"/>
      <c r="AS48" s="1">
        <v>69</v>
      </c>
      <c r="AT48" s="1">
        <v>1</v>
      </c>
      <c r="AU48" s="27">
        <f>SUM(AT$2:AT48)/COUNTA(AS$2:AS48)</f>
        <v>0.34042553191489361</v>
      </c>
      <c r="AV48" s="27">
        <f t="shared" si="9"/>
        <v>0.54945875326614413</v>
      </c>
      <c r="AW48" s="4"/>
      <c r="AY48" s="13">
        <f t="shared" si="0"/>
        <v>1.2229739937964297</v>
      </c>
      <c r="AZ48" s="36">
        <f t="shared" si="1"/>
        <v>3.397276203015426</v>
      </c>
      <c r="BA48" s="23">
        <f t="shared" si="2"/>
        <v>0.77258649358567655</v>
      </c>
    </row>
    <row r="49" spans="1:53" x14ac:dyDescent="0.2">
      <c r="A49" s="1">
        <v>66</v>
      </c>
      <c r="B49" s="1">
        <v>1</v>
      </c>
      <c r="E49" s="11" t="s">
        <v>89</v>
      </c>
      <c r="F49"/>
      <c r="H49" s="8">
        <f t="shared" si="3"/>
        <v>-1.1485784905803129</v>
      </c>
      <c r="I49" s="39">
        <f t="shared" si="4"/>
        <v>0.31708719159320803</v>
      </c>
      <c r="J49" s="8">
        <f t="shared" si="5"/>
        <v>0.24074882332554237</v>
      </c>
      <c r="K49" s="8">
        <f t="shared" si="6"/>
        <v>0.24074882332554237</v>
      </c>
      <c r="L49" s="10">
        <f t="shared" si="10"/>
        <v>-1.4240011158525341</v>
      </c>
      <c r="M49" s="44">
        <f t="shared" si="11"/>
        <v>49</v>
      </c>
      <c r="N49" s="1" t="str">
        <f t="shared" si="7"/>
        <v/>
      </c>
      <c r="O49" s="1">
        <f t="shared" si="8"/>
        <v>66</v>
      </c>
      <c r="P49" s="73"/>
      <c r="Q49" s="39">
        <f t="shared" si="20"/>
        <v>96</v>
      </c>
      <c r="R49" s="13">
        <f t="shared" si="13"/>
        <v>22.566946353187177</v>
      </c>
      <c r="S49" s="8">
        <f t="shared" si="14"/>
        <v>6319755471.8089018</v>
      </c>
      <c r="T49" s="23">
        <f t="shared" si="15"/>
        <v>0.99999999984176602</v>
      </c>
      <c r="U49" s="8">
        <f t="shared" si="16"/>
        <v>3.2192184524260843</v>
      </c>
      <c r="V49" s="8">
        <f t="shared" si="17"/>
        <v>5.7149410222804837</v>
      </c>
      <c r="W49" s="8">
        <f t="shared" si="18"/>
        <v>0.99999999944878981</v>
      </c>
      <c r="X49" s="8">
        <f t="shared" si="19"/>
        <v>1</v>
      </c>
      <c r="AD49" s="8"/>
      <c r="AR49" s="1"/>
      <c r="AS49" s="1">
        <v>69</v>
      </c>
      <c r="AT49" s="1">
        <v>0</v>
      </c>
      <c r="AU49" s="27">
        <f>SUM(AT$2:AT49)/COUNTA(AS$2:AS49)</f>
        <v>0.33333333333333331</v>
      </c>
      <c r="AV49" s="27">
        <f t="shared" si="9"/>
        <v>0.53801169590643272</v>
      </c>
      <c r="AW49" s="4"/>
      <c r="AY49" s="13">
        <f t="shared" si="0"/>
        <v>1.2229739937964297</v>
      </c>
      <c r="AZ49" s="36">
        <f t="shared" si="1"/>
        <v>3.397276203015426</v>
      </c>
      <c r="BA49" s="23">
        <f t="shared" si="2"/>
        <v>0.77258649358567655</v>
      </c>
    </row>
    <row r="50" spans="1:53" x14ac:dyDescent="0.2">
      <c r="A50" s="1">
        <v>69</v>
      </c>
      <c r="B50" s="1">
        <v>1</v>
      </c>
      <c r="D50" s="5" t="s">
        <v>27</v>
      </c>
      <c r="E50" s="4">
        <f>AVERAGE(B:B)</f>
        <v>0.61956521739130432</v>
      </c>
      <c r="F50" t="str">
        <f ca="1">_xlfn.FORMULATEXT(E50)</f>
        <v>=AVERAGE(B:B)</v>
      </c>
      <c r="G50"/>
      <c r="H50" s="8">
        <f t="shared" si="3"/>
        <v>1.2229739937964297</v>
      </c>
      <c r="I50" s="39">
        <f t="shared" si="4"/>
        <v>3.397276203015426</v>
      </c>
      <c r="J50" s="8">
        <f t="shared" si="5"/>
        <v>0.77258649358567655</v>
      </c>
      <c r="K50" s="8">
        <f t="shared" si="6"/>
        <v>0.77258649358567655</v>
      </c>
      <c r="L50" s="10">
        <f t="shared" si="10"/>
        <v>-0.25801131067123856</v>
      </c>
      <c r="M50" s="44">
        <f t="shared" si="11"/>
        <v>50</v>
      </c>
      <c r="N50" s="1" t="str">
        <f t="shared" si="7"/>
        <v/>
      </c>
      <c r="O50" s="1">
        <f t="shared" si="8"/>
        <v>69</v>
      </c>
      <c r="P50" s="73"/>
      <c r="Q50" s="39">
        <f t="shared" si="20"/>
        <v>97</v>
      </c>
      <c r="R50" s="13">
        <f t="shared" si="13"/>
        <v>23.357463847979417</v>
      </c>
      <c r="S50" s="8">
        <f t="shared" si="14"/>
        <v>13932134563.279373</v>
      </c>
      <c r="T50" s="23">
        <f t="shared" si="15"/>
        <v>0.99999999992822353</v>
      </c>
      <c r="U50" s="8">
        <f t="shared" si="16"/>
        <v>3.3145045470966816</v>
      </c>
      <c r="V50" s="8">
        <f t="shared" si="17"/>
        <v>5.9017038007863816</v>
      </c>
      <c r="W50" s="8">
        <f t="shared" si="18"/>
        <v>0.99999999973885778</v>
      </c>
      <c r="X50" s="8">
        <f t="shared" si="19"/>
        <v>1</v>
      </c>
      <c r="AD50" s="8"/>
      <c r="AR50" s="1"/>
      <c r="AS50" s="1">
        <v>69</v>
      </c>
      <c r="AT50" s="1">
        <v>1</v>
      </c>
      <c r="AU50" s="27">
        <f>SUM(AT$2:AT50)/COUNTA(AS$2:AS50)</f>
        <v>0.34693877551020408</v>
      </c>
      <c r="AV50" s="27">
        <f t="shared" si="9"/>
        <v>0.55997135696383815</v>
      </c>
      <c r="AW50" s="4"/>
      <c r="AY50" s="13">
        <f t="shared" si="0"/>
        <v>1.2229739937964297</v>
      </c>
      <c r="AZ50" s="36">
        <f t="shared" si="1"/>
        <v>3.397276203015426</v>
      </c>
      <c r="BA50" s="23">
        <f t="shared" si="2"/>
        <v>0.77258649358567655</v>
      </c>
    </row>
    <row r="51" spans="1:53" x14ac:dyDescent="0.2">
      <c r="A51" s="1">
        <v>68</v>
      </c>
      <c r="B51" s="1">
        <v>1</v>
      </c>
      <c r="D51" s="5" t="s">
        <v>28</v>
      </c>
      <c r="E51" s="4">
        <f>STDEV(B:B)</f>
        <v>0.48815398634167767</v>
      </c>
      <c r="F51" t="str">
        <f ca="1">_xlfn.FORMULATEXT(E51)</f>
        <v>=STDEV(B:B)</v>
      </c>
      <c r="H51" s="8">
        <f t="shared" si="3"/>
        <v>0.43245649900418215</v>
      </c>
      <c r="I51" s="39">
        <f t="shared" si="4"/>
        <v>1.5410384371279797</v>
      </c>
      <c r="J51" s="8">
        <f t="shared" si="5"/>
        <v>0.6064601048970143</v>
      </c>
      <c r="K51" s="8">
        <f t="shared" si="6"/>
        <v>0.6064601048970143</v>
      </c>
      <c r="L51" s="10">
        <f t="shared" si="10"/>
        <v>-0.50011633199156535</v>
      </c>
      <c r="M51" s="44">
        <f t="shared" si="11"/>
        <v>51</v>
      </c>
      <c r="N51" s="1" t="str">
        <f t="shared" si="7"/>
        <v/>
      </c>
      <c r="O51" s="1">
        <f t="shared" si="8"/>
        <v>68</v>
      </c>
      <c r="P51" s="73"/>
      <c r="Q51" s="39">
        <f t="shared" si="20"/>
        <v>98</v>
      </c>
      <c r="R51" s="13">
        <f t="shared" si="13"/>
        <v>24.147981342771672</v>
      </c>
      <c r="S51" s="8">
        <f t="shared" si="14"/>
        <v>30713905681.190548</v>
      </c>
      <c r="T51" s="23">
        <f t="shared" si="15"/>
        <v>0.99999999996744149</v>
      </c>
      <c r="U51" s="8">
        <f t="shared" si="16"/>
        <v>3.4097906417672794</v>
      </c>
      <c r="V51" s="8">
        <f t="shared" si="17"/>
        <v>6.0884665792922803</v>
      </c>
      <c r="W51" s="8">
        <f t="shared" si="18"/>
        <v>0.99999999987628074</v>
      </c>
      <c r="X51" s="8">
        <f t="shared" si="19"/>
        <v>1</v>
      </c>
      <c r="AD51" s="8"/>
      <c r="AR51" s="1"/>
      <c r="AS51" s="1">
        <v>69</v>
      </c>
      <c r="AT51" s="1">
        <v>0</v>
      </c>
      <c r="AU51" s="27">
        <f>SUM(AT$2:AT51)/COUNTA(AS$2:AS51)</f>
        <v>0.34</v>
      </c>
      <c r="AV51" s="27">
        <f t="shared" si="9"/>
        <v>0.54877192982456147</v>
      </c>
      <c r="AW51" s="4"/>
      <c r="AY51" s="13">
        <f t="shared" si="0"/>
        <v>1.2229739937964297</v>
      </c>
      <c r="AZ51" s="36">
        <f t="shared" si="1"/>
        <v>3.397276203015426</v>
      </c>
      <c r="BA51" s="23">
        <f t="shared" si="2"/>
        <v>0.77258649358567655</v>
      </c>
    </row>
    <row r="52" spans="1:53" x14ac:dyDescent="0.2">
      <c r="A52" s="1">
        <v>71</v>
      </c>
      <c r="B52" s="1">
        <v>1</v>
      </c>
      <c r="D52" s="52" t="s">
        <v>75</v>
      </c>
      <c r="E52" s="52" t="s">
        <v>76</v>
      </c>
      <c r="F52" s="52" t="s">
        <v>77</v>
      </c>
      <c r="G52" s="52" t="s">
        <v>78</v>
      </c>
      <c r="H52" s="8">
        <f t="shared" si="3"/>
        <v>2.8040089833809319</v>
      </c>
      <c r="I52" s="39">
        <f t="shared" si="4"/>
        <v>16.510705412230681</v>
      </c>
      <c r="J52" s="8">
        <f t="shared" si="5"/>
        <v>0.94289207793413443</v>
      </c>
      <c r="K52" s="8">
        <f t="shared" si="6"/>
        <v>0.94289207793413443</v>
      </c>
      <c r="L52" s="10">
        <f t="shared" si="10"/>
        <v>-5.8803448354969971E-2</v>
      </c>
      <c r="M52" s="44">
        <f t="shared" si="11"/>
        <v>52</v>
      </c>
      <c r="N52" s="1" t="str">
        <f t="shared" si="7"/>
        <v/>
      </c>
      <c r="O52" s="1">
        <f t="shared" si="8"/>
        <v>71</v>
      </c>
      <c r="P52" s="73"/>
      <c r="Q52" s="5"/>
      <c r="R52" s="5"/>
      <c r="S52" s="5"/>
      <c r="AD52" s="8"/>
      <c r="AR52" s="1"/>
      <c r="AS52" s="1">
        <v>69</v>
      </c>
      <c r="AT52" s="1">
        <v>1</v>
      </c>
      <c r="AU52" s="27">
        <f>SUM(AT$2:AT52)/COUNTA(AS$2:AS52)</f>
        <v>0.35294117647058826</v>
      </c>
      <c r="AV52" s="27">
        <f t="shared" si="9"/>
        <v>0.56965944272445823</v>
      </c>
      <c r="AW52" s="4"/>
      <c r="AY52" s="13">
        <f t="shared" si="0"/>
        <v>1.2229739937964297</v>
      </c>
      <c r="AZ52" s="36">
        <f t="shared" si="1"/>
        <v>3.397276203015426</v>
      </c>
      <c r="BA52" s="23">
        <f t="shared" si="2"/>
        <v>0.77258649358567655</v>
      </c>
    </row>
    <row r="53" spans="1:53" x14ac:dyDescent="0.2">
      <c r="A53" s="1">
        <v>63</v>
      </c>
      <c r="B53" s="1">
        <v>0</v>
      </c>
      <c r="D53" s="42" t="s">
        <v>67</v>
      </c>
      <c r="H53" s="8">
        <f t="shared" si="3"/>
        <v>-3.5201309749570626</v>
      </c>
      <c r="I53" s="39">
        <f t="shared" si="4"/>
        <v>2.9595558637011583E-2</v>
      </c>
      <c r="J53" s="8">
        <f t="shared" si="5"/>
        <v>2.8744839066895806E-2</v>
      </c>
      <c r="K53" s="8">
        <f t="shared" si="6"/>
        <v>0.97125516093310416</v>
      </c>
      <c r="L53" s="10">
        <f t="shared" si="10"/>
        <v>-2.916606361235978E-2</v>
      </c>
      <c r="M53" s="44">
        <f t="shared" si="11"/>
        <v>53</v>
      </c>
      <c r="N53" s="1">
        <f t="shared" si="7"/>
        <v>63</v>
      </c>
      <c r="O53" s="1" t="str">
        <f t="shared" si="8"/>
        <v/>
      </c>
      <c r="P53" s="73"/>
      <c r="Q53" s="11" t="s">
        <v>81</v>
      </c>
      <c r="R53" s="11" t="str">
        <f>+R10</f>
        <v>Logit</v>
      </c>
      <c r="S53" s="11" t="str">
        <f>+S10</f>
        <v>Odds</v>
      </c>
      <c r="T53" s="11" t="str">
        <f>+T10</f>
        <v>Prob Y=1</v>
      </c>
      <c r="AD53" s="8"/>
      <c r="AR53" s="1"/>
      <c r="AS53" s="1">
        <v>69</v>
      </c>
      <c r="AT53" s="1">
        <v>0</v>
      </c>
      <c r="AU53" s="27">
        <f>SUM(AT$2:AT53)/COUNTA(AS$2:AS53)</f>
        <v>0.34615384615384615</v>
      </c>
      <c r="AV53" s="27">
        <f t="shared" si="9"/>
        <v>0.5587044534412956</v>
      </c>
      <c r="AW53" s="4"/>
      <c r="AY53" s="13">
        <f t="shared" si="0"/>
        <v>1.2229739937964297</v>
      </c>
      <c r="AZ53" s="36">
        <f t="shared" si="1"/>
        <v>3.397276203015426</v>
      </c>
      <c r="BA53" s="23">
        <f t="shared" si="2"/>
        <v>0.77258649358567655</v>
      </c>
    </row>
    <row r="54" spans="1:53" x14ac:dyDescent="0.2">
      <c r="A54" s="1">
        <v>68</v>
      </c>
      <c r="B54" s="1">
        <v>0</v>
      </c>
      <c r="D54" s="46">
        <f>STDEV(B3:B94)</f>
        <v>0.48815398634167767</v>
      </c>
      <c r="E54" s="32" t="s">
        <v>79</v>
      </c>
      <c r="F54" s="53" t="str">
        <f ca="1">_xlfn.FORMULATEXT(D54)</f>
        <v>=STDEV(B3:B94)</v>
      </c>
      <c r="H54" s="8">
        <f t="shared" si="3"/>
        <v>0.43245649900418215</v>
      </c>
      <c r="I54" s="39">
        <f t="shared" si="4"/>
        <v>1.5410384371279797</v>
      </c>
      <c r="J54" s="8">
        <f t="shared" si="5"/>
        <v>0.6064601048970143</v>
      </c>
      <c r="K54" s="8">
        <f t="shared" si="6"/>
        <v>0.3935398951029857</v>
      </c>
      <c r="L54" s="10">
        <f t="shared" si="10"/>
        <v>-0.93257283099574761</v>
      </c>
      <c r="M54" s="44">
        <f t="shared" si="11"/>
        <v>54</v>
      </c>
      <c r="N54" s="1">
        <f t="shared" si="7"/>
        <v>68</v>
      </c>
      <c r="O54" s="1" t="str">
        <f t="shared" si="8"/>
        <v/>
      </c>
      <c r="P54" s="73"/>
      <c r="Q54" s="10">
        <f>AVERAGE(A:A)</f>
        <v>68.717391304347828</v>
      </c>
      <c r="R54" s="13">
        <f>D$3+E$3*Q54</f>
        <v>0.99956687570297476</v>
      </c>
      <c r="S54" s="8">
        <f>EXP(R54)</f>
        <v>2.7171047294864614</v>
      </c>
      <c r="T54" s="22">
        <f>S54/(1+S54)</f>
        <v>0.73097341270280658</v>
      </c>
      <c r="U54" s="6" t="s">
        <v>55</v>
      </c>
      <c r="V54" s="5" t="s">
        <v>24</v>
      </c>
      <c r="AD54" s="8"/>
      <c r="AR54" s="1"/>
      <c r="AS54" s="1">
        <v>69</v>
      </c>
      <c r="AT54" s="1">
        <v>1</v>
      </c>
      <c r="AU54" s="27">
        <f>SUM(AT$2:AT54)/COUNTA(AS$2:AS54)</f>
        <v>0.35849056603773582</v>
      </c>
      <c r="AV54" s="27">
        <f t="shared" si="9"/>
        <v>0.57861635220125784</v>
      </c>
      <c r="AW54" s="4"/>
      <c r="AY54" s="13">
        <f t="shared" si="0"/>
        <v>1.2229739937964297</v>
      </c>
      <c r="AZ54" s="36">
        <f t="shared" si="1"/>
        <v>3.397276203015426</v>
      </c>
      <c r="BA54" s="23">
        <f t="shared" si="2"/>
        <v>0.77258649358567655</v>
      </c>
    </row>
    <row r="55" spans="1:53" x14ac:dyDescent="0.2">
      <c r="A55" s="1">
        <v>73</v>
      </c>
      <c r="B55" s="1">
        <v>1</v>
      </c>
      <c r="D55" s="34">
        <f>STDEV(A3:A94)</f>
        <v>3.6592907105802541</v>
      </c>
      <c r="E55" s="32" t="s">
        <v>80</v>
      </c>
      <c r="F55" s="53" t="str">
        <f ca="1">_xlfn.FORMULATEXT(D55)</f>
        <v>=STDEV(A3:A94)</v>
      </c>
      <c r="H55" s="8">
        <f t="shared" si="3"/>
        <v>4.385043972965434</v>
      </c>
      <c r="I55" s="39">
        <f t="shared" si="4"/>
        <v>80.241751603093206</v>
      </c>
      <c r="J55" s="8">
        <f t="shared" si="5"/>
        <v>0.98769105810414448</v>
      </c>
      <c r="K55" s="8">
        <f t="shared" si="6"/>
        <v>0.98769105810414448</v>
      </c>
      <c r="L55" s="10">
        <f t="shared" si="10"/>
        <v>-1.2385324359877211E-2</v>
      </c>
      <c r="M55" s="44">
        <f t="shared" si="11"/>
        <v>55</v>
      </c>
      <c r="N55" s="1" t="str">
        <f t="shared" si="7"/>
        <v/>
      </c>
      <c r="O55" s="1">
        <f t="shared" si="8"/>
        <v>73</v>
      </c>
      <c r="P55" s="73"/>
      <c r="Q55" s="10">
        <f>MEDIAN(A:A)</f>
        <v>69</v>
      </c>
      <c r="R55" s="13">
        <f>D$3+E$3*Q55</f>
        <v>1.2229739937964297</v>
      </c>
      <c r="S55" s="8">
        <f>EXP(R55)</f>
        <v>3.397276203015426</v>
      </c>
      <c r="T55" s="22">
        <f>S55/(1+S55)</f>
        <v>0.77258649358567655</v>
      </c>
      <c r="U55" s="6" t="s">
        <v>56</v>
      </c>
      <c r="V55" s="5" t="s">
        <v>25</v>
      </c>
      <c r="AD55" s="8"/>
      <c r="AR55" s="1"/>
      <c r="AS55" s="1">
        <v>69.5</v>
      </c>
      <c r="AT55" s="1">
        <v>1</v>
      </c>
      <c r="AU55" s="27">
        <f>SUM(AT$2:AT55)/COUNTA(AS$2:AS55)</f>
        <v>0.37037037037037035</v>
      </c>
      <c r="AV55" s="27">
        <f t="shared" si="9"/>
        <v>0.59779077322936969</v>
      </c>
      <c r="AW55" s="4"/>
      <c r="AY55" s="13">
        <f t="shared" si="0"/>
        <v>1.618232741192557</v>
      </c>
      <c r="AZ55" s="36">
        <f t="shared" si="1"/>
        <v>5.0441680844659054</v>
      </c>
      <c r="BA55" s="23">
        <f t="shared" si="2"/>
        <v>0.83455125899458416</v>
      </c>
    </row>
    <row r="56" spans="1:53" x14ac:dyDescent="0.2">
      <c r="A56" s="1">
        <v>70</v>
      </c>
      <c r="B56" s="1">
        <v>1</v>
      </c>
      <c r="D56" s="51">
        <f>D41*(D54/D55)^2</f>
        <v>9.5286094670597274E-2</v>
      </c>
      <c r="E56" s="6" t="s">
        <v>54</v>
      </c>
      <c r="F56" s="49" t="str">
        <f ca="1">_xlfn.FORMULATEXT(D56)</f>
        <v>=D41*(D54/D55)^2</v>
      </c>
      <c r="H56" s="8">
        <f t="shared" si="3"/>
        <v>2.0134914885886843</v>
      </c>
      <c r="I56" s="39">
        <f t="shared" si="4"/>
        <v>7.4894209784181367</v>
      </c>
      <c r="J56" s="8">
        <f t="shared" si="5"/>
        <v>0.88220633626931599</v>
      </c>
      <c r="K56" s="8">
        <f t="shared" si="6"/>
        <v>0.88220633626931599</v>
      </c>
      <c r="L56" s="10">
        <f t="shared" si="10"/>
        <v>-0.12532930898692515</v>
      </c>
      <c r="M56" s="44">
        <f t="shared" si="11"/>
        <v>56</v>
      </c>
      <c r="N56" s="1" t="str">
        <f t="shared" si="7"/>
        <v/>
      </c>
      <c r="O56" s="1">
        <f t="shared" si="8"/>
        <v>70</v>
      </c>
      <c r="P56" s="73"/>
      <c r="Q56" s="10">
        <f>D39</f>
        <v>70.754385964912274</v>
      </c>
      <c r="R56" s="13">
        <f>D$3+E$3*Q56</f>
        <v>2.6098467916775689</v>
      </c>
      <c r="S56" s="8">
        <f>EXP(R56)</f>
        <v>13.596967523658945</v>
      </c>
      <c r="T56" s="22">
        <f>S56/(1+S56)</f>
        <v>0.93149262006788824</v>
      </c>
      <c r="U56" s="6" t="s">
        <v>57</v>
      </c>
      <c r="V56" s="5" t="s">
        <v>97</v>
      </c>
      <c r="AD56" s="8"/>
      <c r="AR56" s="1"/>
      <c r="AS56" s="1">
        <v>70</v>
      </c>
      <c r="AT56" s="1">
        <v>1</v>
      </c>
      <c r="AU56" s="27">
        <f>SUM(AT$2:AT56)/COUNTA(AS$2:AS56)</f>
        <v>0.38181818181818183</v>
      </c>
      <c r="AV56" s="27">
        <f t="shared" si="9"/>
        <v>0.61626794258373208</v>
      </c>
      <c r="AW56" s="4"/>
      <c r="AY56" s="13">
        <f t="shared" si="0"/>
        <v>2.0134914885886843</v>
      </c>
      <c r="AZ56" s="36">
        <f t="shared" si="1"/>
        <v>7.4894209784181367</v>
      </c>
      <c r="BA56" s="23">
        <f t="shared" si="2"/>
        <v>0.88220633626931599</v>
      </c>
    </row>
    <row r="57" spans="1:53" x14ac:dyDescent="0.2">
      <c r="A57" s="1">
        <v>73</v>
      </c>
      <c r="B57" s="1">
        <v>1</v>
      </c>
      <c r="D57" s="1">
        <f>D30</f>
        <v>9.5286094670597524E-2</v>
      </c>
      <c r="E57" s="5" t="s">
        <v>68</v>
      </c>
      <c r="F57" s="49" t="str">
        <f ca="1">_xlfn.FORMULATEXT(D57)</f>
        <v>=D30</v>
      </c>
      <c r="H57" s="8">
        <f t="shared" si="3"/>
        <v>4.385043972965434</v>
      </c>
      <c r="I57" s="39">
        <f t="shared" si="4"/>
        <v>80.241751603093206</v>
      </c>
      <c r="J57" s="8">
        <f t="shared" si="5"/>
        <v>0.98769105810414448</v>
      </c>
      <c r="K57" s="8">
        <f t="shared" si="6"/>
        <v>0.98769105810414448</v>
      </c>
      <c r="L57" s="10">
        <f t="shared" si="10"/>
        <v>-1.2385324359877211E-2</v>
      </c>
      <c r="M57" s="44">
        <f t="shared" si="11"/>
        <v>57</v>
      </c>
      <c r="N57" s="1" t="str">
        <f t="shared" si="7"/>
        <v/>
      </c>
      <c r="O57" s="1">
        <f t="shared" si="8"/>
        <v>73</v>
      </c>
      <c r="P57" s="73"/>
      <c r="Q57" s="10">
        <f>D40</f>
        <v>65.400000000000006</v>
      </c>
      <c r="R57" s="13">
        <f>D$3+E$3*Q57</f>
        <v>-1.62288898745566</v>
      </c>
      <c r="S57" s="8">
        <f>EXP(R57)</f>
        <v>0.19732779728561106</v>
      </c>
      <c r="T57" s="22">
        <f>S57/(1+S57)</f>
        <v>0.1648068287840313</v>
      </c>
      <c r="U57" s="6" t="s">
        <v>58</v>
      </c>
      <c r="V57" s="5" t="s">
        <v>98</v>
      </c>
      <c r="AD57" s="8"/>
      <c r="AR57" s="1"/>
      <c r="AS57" s="1">
        <v>70</v>
      </c>
      <c r="AT57" s="1">
        <v>1</v>
      </c>
      <c r="AU57" s="27">
        <f>SUM(AT$2:AT57)/COUNTA(AS$2:AS57)</f>
        <v>0.39285714285714285</v>
      </c>
      <c r="AV57" s="27">
        <f t="shared" si="9"/>
        <v>0.63408521303258147</v>
      </c>
      <c r="AW57" s="4"/>
      <c r="AY57" s="13">
        <f t="shared" si="0"/>
        <v>2.0134914885886843</v>
      </c>
      <c r="AZ57" s="36">
        <f t="shared" si="1"/>
        <v>7.4894209784181367</v>
      </c>
      <c r="BA57" s="23">
        <f t="shared" si="2"/>
        <v>0.88220633626931599</v>
      </c>
    </row>
    <row r="58" spans="1:53" x14ac:dyDescent="0.2">
      <c r="A58" s="1">
        <v>73</v>
      </c>
      <c r="B58" s="1">
        <v>1</v>
      </c>
      <c r="D58" s="1" t="str">
        <f>IF(D57=D56,"OK", "no")</f>
        <v>no</v>
      </c>
      <c r="E58" s="5" t="s">
        <v>69</v>
      </c>
      <c r="H58" s="8">
        <f t="shared" si="3"/>
        <v>4.385043972965434</v>
      </c>
      <c r="I58" s="39">
        <f t="shared" si="4"/>
        <v>80.241751603093206</v>
      </c>
      <c r="J58" s="8">
        <f t="shared" si="5"/>
        <v>0.98769105810414448</v>
      </c>
      <c r="K58" s="8">
        <f t="shared" si="6"/>
        <v>0.98769105810414448</v>
      </c>
      <c r="L58" s="10">
        <f t="shared" si="10"/>
        <v>-1.2385324359877211E-2</v>
      </c>
      <c r="M58" s="44">
        <f t="shared" si="11"/>
        <v>58</v>
      </c>
      <c r="N58" s="1" t="str">
        <f t="shared" si="7"/>
        <v/>
      </c>
      <c r="O58" s="1">
        <f t="shared" si="8"/>
        <v>73</v>
      </c>
      <c r="P58" s="5"/>
      <c r="AD58" s="8"/>
      <c r="AR58" s="1"/>
      <c r="AS58" s="1">
        <v>70</v>
      </c>
      <c r="AT58" s="1">
        <v>0</v>
      </c>
      <c r="AU58" s="27">
        <f>SUM(AT$2:AT58)/COUNTA(AS$2:AS58)</f>
        <v>0.38596491228070173</v>
      </c>
      <c r="AV58" s="27">
        <f t="shared" si="9"/>
        <v>0.62296091104955365</v>
      </c>
      <c r="AW58" s="4"/>
      <c r="AY58" s="13">
        <f t="shared" si="0"/>
        <v>2.0134914885886843</v>
      </c>
      <c r="AZ58" s="36">
        <f t="shared" si="1"/>
        <v>7.4894209784181367</v>
      </c>
      <c r="BA58" s="23">
        <f t="shared" si="2"/>
        <v>0.88220633626931599</v>
      </c>
    </row>
    <row r="59" spans="1:53" x14ac:dyDescent="0.2">
      <c r="A59" s="1">
        <v>67</v>
      </c>
      <c r="B59" s="1">
        <v>1</v>
      </c>
      <c r="D59" s="38"/>
      <c r="E59" s="38"/>
      <c r="F59" s="38"/>
      <c r="G59" s="38"/>
      <c r="H59" s="8">
        <f t="shared" si="3"/>
        <v>-0.35806099578806538</v>
      </c>
      <c r="I59" s="39">
        <f t="shared" si="4"/>
        <v>0.69903043579381974</v>
      </c>
      <c r="J59" s="8">
        <f t="shared" si="5"/>
        <v>0.41142902508819346</v>
      </c>
      <c r="K59" s="8">
        <f t="shared" si="6"/>
        <v>0.41142902508819346</v>
      </c>
      <c r="L59" s="10">
        <f t="shared" si="10"/>
        <v>-0.88811875226315196</v>
      </c>
      <c r="M59" s="44">
        <f t="shared" si="11"/>
        <v>59</v>
      </c>
      <c r="N59" s="1" t="str">
        <f t="shared" si="7"/>
        <v/>
      </c>
      <c r="O59" s="1">
        <f t="shared" si="8"/>
        <v>67</v>
      </c>
      <c r="P59" s="5"/>
      <c r="Q59" s="8"/>
      <c r="R59" s="8"/>
      <c r="S59" s="6"/>
      <c r="AD59" s="8"/>
      <c r="AR59" s="1"/>
      <c r="AS59" s="1">
        <v>70</v>
      </c>
      <c r="AT59" s="1">
        <v>1</v>
      </c>
      <c r="AU59" s="27">
        <f>SUM(AT$2:AT59)/COUNTA(AS$2:AS59)</f>
        <v>0.39655172413793105</v>
      </c>
      <c r="AV59" s="27">
        <f t="shared" si="9"/>
        <v>0.64004839685420456</v>
      </c>
      <c r="AW59" s="27">
        <v>1</v>
      </c>
      <c r="AY59" s="13">
        <f t="shared" si="0"/>
        <v>2.0134914885886843</v>
      </c>
      <c r="AZ59" s="36">
        <f t="shared" si="1"/>
        <v>7.4894209784181367</v>
      </c>
      <c r="BA59" s="23">
        <f t="shared" si="2"/>
        <v>0.88220633626931599</v>
      </c>
    </row>
    <row r="60" spans="1:53" x14ac:dyDescent="0.2">
      <c r="A60" s="1">
        <v>71</v>
      </c>
      <c r="B60" s="1">
        <v>1</v>
      </c>
      <c r="E60" s="11" t="s">
        <v>90</v>
      </c>
      <c r="H60" s="8">
        <f t="shared" si="3"/>
        <v>2.8040089833809319</v>
      </c>
      <c r="I60" s="39">
        <f t="shared" si="4"/>
        <v>16.510705412230681</v>
      </c>
      <c r="J60" s="8">
        <f t="shared" si="5"/>
        <v>0.94289207793413443</v>
      </c>
      <c r="K60" s="8">
        <f t="shared" si="6"/>
        <v>0.94289207793413443</v>
      </c>
      <c r="L60" s="10">
        <f t="shared" si="10"/>
        <v>-5.8803448354969971E-2</v>
      </c>
      <c r="M60" s="44">
        <f t="shared" si="11"/>
        <v>60</v>
      </c>
      <c r="N60" s="1" t="str">
        <f t="shared" si="7"/>
        <v/>
      </c>
      <c r="O60" s="1">
        <f t="shared" si="8"/>
        <v>71</v>
      </c>
      <c r="P60" s="5"/>
      <c r="Q60" s="5"/>
      <c r="R60" s="5"/>
      <c r="S60" s="5"/>
      <c r="AD60" s="8"/>
      <c r="AR60" s="1"/>
      <c r="AS60" s="1">
        <v>70</v>
      </c>
      <c r="AT60" s="1">
        <v>1</v>
      </c>
      <c r="AU60" s="27">
        <f>SUM(AT$2:AT60)/COUNTA(AS$2:AS60)</f>
        <v>0.40677966101694918</v>
      </c>
      <c r="AV60" s="27">
        <f t="shared" si="9"/>
        <v>0.65655664585191797</v>
      </c>
      <c r="AW60" s="27">
        <v>1</v>
      </c>
      <c r="AY60" s="13">
        <f t="shared" si="0"/>
        <v>2.0134914885886843</v>
      </c>
      <c r="AZ60" s="36">
        <f t="shared" si="1"/>
        <v>7.4894209784181367</v>
      </c>
      <c r="BA60" s="23">
        <f t="shared" si="2"/>
        <v>0.88220633626931599</v>
      </c>
    </row>
    <row r="61" spans="1:53" x14ac:dyDescent="0.2">
      <c r="A61" s="1">
        <v>72</v>
      </c>
      <c r="B61" s="1">
        <v>1</v>
      </c>
      <c r="D61" s="14" t="s">
        <v>48</v>
      </c>
      <c r="E61" s="4">
        <f>AVERAGE(A:A)</f>
        <v>68.717391304347828</v>
      </c>
      <c r="F61" t="str">
        <f ca="1">_xlfn.FORMULATEXT(E61)</f>
        <v>=AVERAGE(A:A)</v>
      </c>
      <c r="G61"/>
      <c r="H61" s="8">
        <f t="shared" si="3"/>
        <v>3.5945264781731794</v>
      </c>
      <c r="I61" s="39">
        <f t="shared" si="4"/>
        <v>36.398460441068814</v>
      </c>
      <c r="J61" s="8">
        <f t="shared" si="5"/>
        <v>0.97326093138043035</v>
      </c>
      <c r="K61" s="8">
        <f t="shared" si="6"/>
        <v>0.97326093138043035</v>
      </c>
      <c r="L61" s="10">
        <f t="shared" si="10"/>
        <v>-2.7103060722713894E-2</v>
      </c>
      <c r="M61" s="44">
        <f t="shared" si="11"/>
        <v>61</v>
      </c>
      <c r="N61" s="1" t="str">
        <f t="shared" si="7"/>
        <v/>
      </c>
      <c r="O61" s="1">
        <f t="shared" si="8"/>
        <v>72</v>
      </c>
      <c r="P61" s="5"/>
      <c r="Q61" s="5"/>
      <c r="R61" s="5"/>
      <c r="S61" s="5"/>
      <c r="AD61" s="8"/>
      <c r="AR61" s="1"/>
      <c r="AS61" s="1">
        <v>70</v>
      </c>
      <c r="AT61" s="1">
        <v>1</v>
      </c>
      <c r="AU61" s="27">
        <f>SUM(AT$2:AT61)/COUNTA(AS$2:AS61)</f>
        <v>0.41666666666666669</v>
      </c>
      <c r="AV61" s="27">
        <f t="shared" si="9"/>
        <v>0.67251461988304095</v>
      </c>
      <c r="AW61" s="27">
        <v>1</v>
      </c>
      <c r="AY61" s="13">
        <f t="shared" si="0"/>
        <v>2.0134914885886843</v>
      </c>
      <c r="AZ61" s="36">
        <f t="shared" si="1"/>
        <v>7.4894209784181367</v>
      </c>
      <c r="BA61" s="23">
        <f t="shared" si="2"/>
        <v>0.88220633626931599</v>
      </c>
    </row>
    <row r="62" spans="1:53" x14ac:dyDescent="0.2">
      <c r="A62" s="1">
        <v>74</v>
      </c>
      <c r="B62" s="1">
        <v>1</v>
      </c>
      <c r="D62" s="14" t="s">
        <v>49</v>
      </c>
      <c r="E62" s="4">
        <f>STDEV(A:A)</f>
        <v>3.6592907105802541</v>
      </c>
      <c r="F62" t="str">
        <f ca="1">_xlfn.FORMULATEXT(E62)</f>
        <v>=STDEV(A:A)</v>
      </c>
      <c r="H62" s="8">
        <f t="shared" si="3"/>
        <v>5.1755614677576816</v>
      </c>
      <c r="I62" s="39">
        <f t="shared" si="4"/>
        <v>176.8959077474486</v>
      </c>
      <c r="J62" s="8">
        <f t="shared" si="5"/>
        <v>0.99437873522408593</v>
      </c>
      <c r="K62" s="8">
        <f t="shared" si="6"/>
        <v>0.99437873522408593</v>
      </c>
      <c r="L62" s="10">
        <f t="shared" si="10"/>
        <v>-5.6371235435660281E-3</v>
      </c>
      <c r="M62" s="44">
        <f t="shared" si="11"/>
        <v>62</v>
      </c>
      <c r="N62" s="1" t="str">
        <f t="shared" si="7"/>
        <v/>
      </c>
      <c r="O62" s="1">
        <f t="shared" si="8"/>
        <v>74</v>
      </c>
      <c r="P62" s="5"/>
      <c r="Q62" s="5"/>
      <c r="R62" s="5"/>
      <c r="S62" s="5"/>
      <c r="AD62" s="8"/>
      <c r="AR62" s="1"/>
      <c r="AS62" s="1">
        <v>71</v>
      </c>
      <c r="AT62" s="1">
        <v>1</v>
      </c>
      <c r="AU62" s="27">
        <f>SUM(AT$2:AT62)/COUNTA(AS$2:AS62)</f>
        <v>0.42622950819672129</v>
      </c>
      <c r="AV62" s="27">
        <f t="shared" si="9"/>
        <v>0.6879493816508484</v>
      </c>
      <c r="AW62" s="27">
        <v>1</v>
      </c>
      <c r="AY62" s="13">
        <f t="shared" si="0"/>
        <v>2.8040089833809319</v>
      </c>
      <c r="AZ62" s="36">
        <f t="shared" si="1"/>
        <v>16.510705412230681</v>
      </c>
      <c r="BA62" s="23">
        <f t="shared" si="2"/>
        <v>0.94289207793413443</v>
      </c>
    </row>
    <row r="63" spans="1:53" x14ac:dyDescent="0.2">
      <c r="A63" s="1">
        <v>62</v>
      </c>
      <c r="B63" s="1">
        <v>0</v>
      </c>
      <c r="D63" s="14" t="s">
        <v>50</v>
      </c>
      <c r="E63" s="29">
        <f>KURT(A3:A94)</f>
        <v>-0.80441210418657727</v>
      </c>
      <c r="F63" t="str">
        <f ca="1">_xlfn.FORMULATEXT(E63)</f>
        <v>=KURT(A3:A94)</v>
      </c>
      <c r="G63" s="6"/>
      <c r="H63" s="8">
        <f t="shared" si="3"/>
        <v>-4.3106484697493173</v>
      </c>
      <c r="I63" s="39">
        <f t="shared" si="4"/>
        <v>1.342484116758828E-2</v>
      </c>
      <c r="J63" s="8">
        <f t="shared" si="5"/>
        <v>1.3247002266217625E-2</v>
      </c>
      <c r="K63" s="8">
        <f t="shared" si="6"/>
        <v>0.98675299773378233</v>
      </c>
      <c r="L63" s="10">
        <f t="shared" si="10"/>
        <v>-1.333552645668367E-2</v>
      </c>
      <c r="M63" s="44">
        <f t="shared" si="11"/>
        <v>63</v>
      </c>
      <c r="N63" s="1">
        <f t="shared" si="7"/>
        <v>62</v>
      </c>
      <c r="O63" s="1" t="str">
        <f t="shared" si="8"/>
        <v/>
      </c>
      <c r="P63" s="5"/>
      <c r="Q63" s="5"/>
      <c r="R63" s="5"/>
      <c r="S63" s="5"/>
      <c r="AD63" s="8"/>
      <c r="AR63" s="1"/>
      <c r="AS63" s="1">
        <v>71</v>
      </c>
      <c r="AT63" s="1">
        <v>1</v>
      </c>
      <c r="AU63" s="27">
        <f>SUM(AT$2:AT63)/COUNTA(AS$2:AS63)</f>
        <v>0.43548387096774194</v>
      </c>
      <c r="AV63" s="27">
        <f t="shared" si="9"/>
        <v>0.702886247877759</v>
      </c>
      <c r="AW63" s="27">
        <v>1</v>
      </c>
      <c r="AY63" s="13">
        <f t="shared" si="0"/>
        <v>2.8040089833809319</v>
      </c>
      <c r="AZ63" s="36">
        <f t="shared" si="1"/>
        <v>16.510705412230681</v>
      </c>
      <c r="BA63" s="23">
        <f t="shared" si="2"/>
        <v>0.94289207793413443</v>
      </c>
    </row>
    <row r="64" spans="1:53" x14ac:dyDescent="0.2">
      <c r="A64" s="1">
        <v>61.75</v>
      </c>
      <c r="B64" s="1">
        <v>0</v>
      </c>
      <c r="D64" s="14" t="s">
        <v>51</v>
      </c>
      <c r="E64" s="19">
        <f>MAX(A$3:A$94)</f>
        <v>75</v>
      </c>
      <c r="F64" s="6" t="str">
        <f ca="1">_xlfn.FORMULATEXT(E64)</f>
        <v>=MAX(A$3:A$94)</v>
      </c>
      <c r="G64" s="6"/>
      <c r="H64" s="8">
        <f t="shared" si="3"/>
        <v>-4.5082778434473738</v>
      </c>
      <c r="I64" s="39">
        <f t="shared" si="4"/>
        <v>1.1017417565178251E-2</v>
      </c>
      <c r="J64" s="8">
        <f t="shared" si="5"/>
        <v>1.0897356834574989E-2</v>
      </c>
      <c r="K64" s="8">
        <f t="shared" si="6"/>
        <v>0.98910264316542507</v>
      </c>
      <c r="L64" s="10">
        <f t="shared" si="10"/>
        <v>-1.0957167946489179E-2</v>
      </c>
      <c r="M64" s="44">
        <f t="shared" si="11"/>
        <v>64</v>
      </c>
      <c r="N64" s="1">
        <f t="shared" si="7"/>
        <v>61.75</v>
      </c>
      <c r="O64" s="1" t="str">
        <f t="shared" si="8"/>
        <v/>
      </c>
      <c r="P64" s="5"/>
      <c r="AD64" s="8"/>
      <c r="AR64" s="1"/>
      <c r="AS64" s="1">
        <v>71</v>
      </c>
      <c r="AT64" s="1">
        <v>1</v>
      </c>
      <c r="AU64" s="27">
        <f>SUM(AT$2:AT64)/COUNTA(AS$2:AS64)</f>
        <v>0.44444444444444442</v>
      </c>
      <c r="AV64" s="27">
        <f t="shared" si="9"/>
        <v>0.71734892787524362</v>
      </c>
      <c r="AW64" s="27">
        <v>1</v>
      </c>
      <c r="AY64" s="13">
        <f t="shared" si="0"/>
        <v>2.8040089833809319</v>
      </c>
      <c r="AZ64" s="36">
        <f t="shared" si="1"/>
        <v>16.510705412230681</v>
      </c>
      <c r="BA64" s="23">
        <f t="shared" si="2"/>
        <v>0.94289207793413443</v>
      </c>
    </row>
    <row r="65" spans="1:53" x14ac:dyDescent="0.2">
      <c r="A65" s="1">
        <v>68</v>
      </c>
      <c r="B65" s="1">
        <v>0</v>
      </c>
      <c r="D65" s="14" t="s">
        <v>52</v>
      </c>
      <c r="E65" s="19">
        <f>MIN(A$3:A$94)</f>
        <v>61</v>
      </c>
      <c r="F65" s="6" t="str">
        <f ca="1">_xlfn.FORMULATEXT(E65)</f>
        <v>=MIN(A$3:A$94)</v>
      </c>
      <c r="G65"/>
      <c r="H65" s="8">
        <f t="shared" si="3"/>
        <v>0.43245649900418215</v>
      </c>
      <c r="I65" s="39">
        <f t="shared" si="4"/>
        <v>1.5410384371279797</v>
      </c>
      <c r="J65" s="8">
        <f t="shared" si="5"/>
        <v>0.6064601048970143</v>
      </c>
      <c r="K65" s="8">
        <f t="shared" si="6"/>
        <v>0.3935398951029857</v>
      </c>
      <c r="L65" s="10">
        <f t="shared" si="10"/>
        <v>-0.93257283099574761</v>
      </c>
      <c r="M65" s="44">
        <f t="shared" si="11"/>
        <v>65</v>
      </c>
      <c r="N65" s="1">
        <f t="shared" si="7"/>
        <v>68</v>
      </c>
      <c r="O65" s="1" t="str">
        <f t="shared" si="8"/>
        <v/>
      </c>
      <c r="P65" s="5"/>
      <c r="AD65" s="8"/>
      <c r="AR65" s="1"/>
      <c r="AS65" s="1">
        <v>71</v>
      </c>
      <c r="AT65" s="1">
        <v>1</v>
      </c>
      <c r="AU65" s="27">
        <f>SUM(AT$2:AT65)/COUNTA(AS$2:AS65)</f>
        <v>0.453125</v>
      </c>
      <c r="AV65" s="27">
        <f t="shared" si="9"/>
        <v>0.73135964912280704</v>
      </c>
      <c r="AW65" s="27">
        <v>1</v>
      </c>
      <c r="AY65" s="13">
        <f t="shared" si="0"/>
        <v>2.8040089833809319</v>
      </c>
      <c r="AZ65" s="36">
        <f t="shared" si="1"/>
        <v>16.510705412230681</v>
      </c>
      <c r="BA65" s="23">
        <f t="shared" si="2"/>
        <v>0.94289207793413443</v>
      </c>
    </row>
    <row r="66" spans="1:53" x14ac:dyDescent="0.2">
      <c r="A66" s="1">
        <v>69</v>
      </c>
      <c r="B66" s="1">
        <v>0</v>
      </c>
      <c r="H66" s="8">
        <f t="shared" si="3"/>
        <v>1.2229739937964297</v>
      </c>
      <c r="I66" s="39">
        <f t="shared" si="4"/>
        <v>3.397276203015426</v>
      </c>
      <c r="J66" s="8">
        <f t="shared" si="5"/>
        <v>0.77258649358567655</v>
      </c>
      <c r="K66" s="8">
        <f t="shared" si="6"/>
        <v>0.22741350641432345</v>
      </c>
      <c r="L66" s="10">
        <f t="shared" si="10"/>
        <v>-1.4809853044676677</v>
      </c>
      <c r="M66" s="44">
        <f t="shared" si="11"/>
        <v>66</v>
      </c>
      <c r="N66" s="1">
        <f t="shared" si="7"/>
        <v>69</v>
      </c>
      <c r="O66" s="1" t="str">
        <f t="shared" si="8"/>
        <v/>
      </c>
      <c r="P66" s="5"/>
      <c r="AD66" s="8"/>
      <c r="AR66" s="1"/>
      <c r="AS66" s="1">
        <v>71</v>
      </c>
      <c r="AT66" s="1">
        <v>1</v>
      </c>
      <c r="AU66" s="27">
        <f>SUM(AT$2:AT66)/COUNTA(AS$2:AS66)</f>
        <v>0.46153846153846156</v>
      </c>
      <c r="AV66" s="27">
        <f t="shared" si="9"/>
        <v>0.74493927125506076</v>
      </c>
      <c r="AW66" s="27">
        <v>1</v>
      </c>
      <c r="AY66" s="13">
        <f t="shared" ref="AY66:AY93" si="22">D$3+E$3*AS66</f>
        <v>2.8040089833809319</v>
      </c>
      <c r="AZ66" s="36">
        <f t="shared" ref="AZ66:AZ93" si="23">EXP(AY66)</f>
        <v>16.510705412230681</v>
      </c>
      <c r="BA66" s="23">
        <f t="shared" ref="BA66:BA93" si="24">AZ66/(1+AZ66)</f>
        <v>0.94289207793413443</v>
      </c>
    </row>
    <row r="67" spans="1:53" ht="13.5" thickBot="1" x14ac:dyDescent="0.25">
      <c r="A67" s="1">
        <v>72</v>
      </c>
      <c r="B67" s="1">
        <v>1</v>
      </c>
      <c r="D67" s="50" t="s">
        <v>59</v>
      </c>
      <c r="E67"/>
      <c r="H67" s="8">
        <f t="shared" ref="H67:H94" si="25">D$3+E$3*A67</f>
        <v>3.5945264781731794</v>
      </c>
      <c r="I67" s="39">
        <f t="shared" ref="I67:I94" si="26">EXP(H67)</f>
        <v>36.398460441068814</v>
      </c>
      <c r="J67" s="8">
        <f t="shared" ref="J67:J94" si="27">I67/(1+I67)</f>
        <v>0.97326093138043035</v>
      </c>
      <c r="K67" s="8">
        <f t="shared" ref="K67:K94" si="28">IF(B67=1,J67,1-J67)</f>
        <v>0.97326093138043035</v>
      </c>
      <c r="L67" s="10">
        <f t="shared" si="10"/>
        <v>-2.7103060722713894E-2</v>
      </c>
      <c r="M67" s="44">
        <f t="shared" si="11"/>
        <v>67</v>
      </c>
      <c r="N67" s="1" t="str">
        <f t="shared" ref="N67:N94" si="29">IF($B67=1,"",$A67)</f>
        <v/>
      </c>
      <c r="O67" s="1">
        <f t="shared" ref="O67:O94" si="30">IF($B67=1,$A67,"")</f>
        <v>72</v>
      </c>
      <c r="P67" s="5"/>
      <c r="AD67" s="8"/>
      <c r="AR67" s="1"/>
      <c r="AS67" s="1">
        <v>71</v>
      </c>
      <c r="AT67" s="1">
        <v>1</v>
      </c>
      <c r="AU67" s="27">
        <f>SUM(AT$2:AT67)/COUNTA(AS$2:AS67)</f>
        <v>0.46969696969696972</v>
      </c>
      <c r="AV67" s="27">
        <f t="shared" ref="AV67:AV93" si="31">AU67/AU$93</f>
        <v>0.75810738968633717</v>
      </c>
      <c r="AW67" s="27">
        <v>1</v>
      </c>
      <c r="AY67" s="13">
        <f t="shared" si="22"/>
        <v>2.8040089833809319</v>
      </c>
      <c r="AZ67" s="36">
        <f t="shared" si="23"/>
        <v>16.510705412230681</v>
      </c>
      <c r="BA67" s="23">
        <f t="shared" si="24"/>
        <v>0.94289207793413443</v>
      </c>
    </row>
    <row r="68" spans="1:53" ht="14.25" thickTop="1" thickBot="1" x14ac:dyDescent="0.25">
      <c r="A68" s="1">
        <v>67</v>
      </c>
      <c r="B68" s="1">
        <v>0</v>
      </c>
      <c r="D68" s="69">
        <v>10</v>
      </c>
      <c r="E68" s="14" t="s">
        <v>38</v>
      </c>
      <c r="H68" s="8">
        <f t="shared" si="25"/>
        <v>-0.35806099578806538</v>
      </c>
      <c r="I68" s="39">
        <f t="shared" si="26"/>
        <v>0.69903043579381974</v>
      </c>
      <c r="J68" s="8">
        <f t="shared" si="27"/>
        <v>0.41142902508819346</v>
      </c>
      <c r="K68" s="8">
        <f t="shared" si="28"/>
        <v>0.58857097491180654</v>
      </c>
      <c r="L68" s="10">
        <f t="shared" ref="L68:L94" si="32">LN(K68)</f>
        <v>-0.53005775647508657</v>
      </c>
      <c r="M68" s="44">
        <f t="shared" ref="M68:M94" si="33">M67+1</f>
        <v>68</v>
      </c>
      <c r="N68" s="1">
        <f t="shared" si="29"/>
        <v>67</v>
      </c>
      <c r="O68" s="1" t="str">
        <f t="shared" si="30"/>
        <v/>
      </c>
      <c r="P68" s="5"/>
      <c r="AA68" s="8"/>
      <c r="AB68" s="8"/>
      <c r="AC68" s="8"/>
      <c r="AD68" s="8"/>
      <c r="AR68" s="1"/>
      <c r="AS68" s="1">
        <v>71.5</v>
      </c>
      <c r="AT68" s="1">
        <v>1</v>
      </c>
      <c r="AU68" s="27">
        <f>SUM(AT$2:AT68)/COUNTA(AS$2:AS68)</f>
        <v>0.47761194029850745</v>
      </c>
      <c r="AV68" s="27">
        <f t="shared" si="31"/>
        <v>0.77088242995548573</v>
      </c>
      <c r="AW68" s="27">
        <v>1</v>
      </c>
      <c r="AY68" s="13">
        <f t="shared" si="22"/>
        <v>3.1992677307770592</v>
      </c>
      <c r="AZ68" s="36">
        <f t="shared" si="23"/>
        <v>24.514572356074734</v>
      </c>
      <c r="BA68" s="23">
        <f t="shared" si="24"/>
        <v>0.96080671131601736</v>
      </c>
    </row>
    <row r="69" spans="1:53" ht="13.5" thickTop="1" x14ac:dyDescent="0.2">
      <c r="A69" s="1">
        <v>68</v>
      </c>
      <c r="B69" s="1">
        <v>0</v>
      </c>
      <c r="D69" s="1">
        <f>ABS(D41/D68)</f>
        <v>0.53543859649122683</v>
      </c>
      <c r="E69" s="14" t="s">
        <v>91</v>
      </c>
      <c r="F69" s="15" t="str">
        <f ca="1">_xlfn.FORMULATEXT(D69)</f>
        <v>=ABS(D41/D68)</v>
      </c>
      <c r="H69" s="8">
        <f t="shared" si="25"/>
        <v>0.43245649900418215</v>
      </c>
      <c r="I69" s="39">
        <f t="shared" si="26"/>
        <v>1.5410384371279797</v>
      </c>
      <c r="J69" s="8">
        <f t="shared" si="27"/>
        <v>0.6064601048970143</v>
      </c>
      <c r="K69" s="8">
        <f t="shared" si="28"/>
        <v>0.3935398951029857</v>
      </c>
      <c r="L69" s="10">
        <f t="shared" si="32"/>
        <v>-0.93257283099574761</v>
      </c>
      <c r="M69" s="44">
        <f t="shared" si="33"/>
        <v>69</v>
      </c>
      <c r="N69" s="1">
        <f t="shared" si="29"/>
        <v>68</v>
      </c>
      <c r="O69" s="1" t="str">
        <f t="shared" si="30"/>
        <v/>
      </c>
      <c r="P69" s="5"/>
      <c r="AA69" s="8"/>
      <c r="AB69" s="8"/>
      <c r="AC69" s="8"/>
      <c r="AD69" s="8"/>
      <c r="AR69" s="1"/>
      <c r="AS69" s="1">
        <v>72</v>
      </c>
      <c r="AT69" s="1">
        <v>1</v>
      </c>
      <c r="AU69" s="27">
        <f>SUM(AT$2:AT69)/COUNTA(AS$2:AS69)</f>
        <v>0.48529411764705882</v>
      </c>
      <c r="AV69" s="27">
        <f t="shared" si="31"/>
        <v>0.78328173374613008</v>
      </c>
      <c r="AW69" s="27">
        <v>1</v>
      </c>
      <c r="AY69" s="13">
        <f t="shared" si="22"/>
        <v>3.5945264781731794</v>
      </c>
      <c r="AZ69" s="36">
        <f t="shared" si="23"/>
        <v>36.398460441068814</v>
      </c>
      <c r="BA69" s="23">
        <f t="shared" si="24"/>
        <v>0.97326093138043035</v>
      </c>
    </row>
    <row r="70" spans="1:53" x14ac:dyDescent="0.2">
      <c r="A70" s="1">
        <v>72</v>
      </c>
      <c r="B70" s="1">
        <v>1</v>
      </c>
      <c r="D70" s="1">
        <f>ROUND(D69+0.5,0)</f>
        <v>1</v>
      </c>
      <c r="E70" s="14" t="s">
        <v>92</v>
      </c>
      <c r="F70" s="15" t="str">
        <f ca="1">_xlfn.FORMULATEXT(D70)</f>
        <v>=ROUND(D69+0.5,0)</v>
      </c>
      <c r="H70" s="8">
        <f t="shared" si="25"/>
        <v>3.5945264781731794</v>
      </c>
      <c r="I70" s="39">
        <f t="shared" si="26"/>
        <v>36.398460441068814</v>
      </c>
      <c r="J70" s="8">
        <f t="shared" si="27"/>
        <v>0.97326093138043035</v>
      </c>
      <c r="K70" s="8">
        <f t="shared" si="28"/>
        <v>0.97326093138043035</v>
      </c>
      <c r="L70" s="10">
        <f t="shared" si="32"/>
        <v>-2.7103060722713894E-2</v>
      </c>
      <c r="M70" s="44">
        <f t="shared" si="33"/>
        <v>70</v>
      </c>
      <c r="N70" s="1" t="str">
        <f t="shared" si="29"/>
        <v/>
      </c>
      <c r="O70" s="1">
        <f t="shared" si="30"/>
        <v>72</v>
      </c>
      <c r="P70" s="5"/>
      <c r="Q70" s="5"/>
      <c r="R70" s="5"/>
      <c r="S70" s="5"/>
      <c r="AA70" s="8"/>
      <c r="AB70" s="8"/>
      <c r="AC70" s="8"/>
      <c r="AD70" s="8"/>
      <c r="AR70" s="1"/>
      <c r="AS70" s="1">
        <v>72</v>
      </c>
      <c r="AT70" s="1">
        <v>1</v>
      </c>
      <c r="AU70" s="27">
        <f>SUM(AT$2:AT70)/COUNTA(AS$2:AS70)</f>
        <v>0.49275362318840582</v>
      </c>
      <c r="AV70" s="27">
        <f t="shared" si="31"/>
        <v>0.79532163742690065</v>
      </c>
      <c r="AW70" s="27">
        <v>1</v>
      </c>
      <c r="AY70" s="13">
        <f t="shared" si="22"/>
        <v>3.5945264781731794</v>
      </c>
      <c r="AZ70" s="36">
        <f t="shared" si="23"/>
        <v>36.398460441068814</v>
      </c>
      <c r="BA70" s="23">
        <f t="shared" si="24"/>
        <v>0.97326093138043035</v>
      </c>
    </row>
    <row r="71" spans="1:53" x14ac:dyDescent="0.2">
      <c r="A71" s="1">
        <v>68</v>
      </c>
      <c r="B71" s="1">
        <v>0</v>
      </c>
      <c r="H71" s="8">
        <f t="shared" si="25"/>
        <v>0.43245649900418215</v>
      </c>
      <c r="I71" s="39">
        <f t="shared" si="26"/>
        <v>1.5410384371279797</v>
      </c>
      <c r="J71" s="8">
        <f t="shared" si="27"/>
        <v>0.6064601048970143</v>
      </c>
      <c r="K71" s="8">
        <f t="shared" si="28"/>
        <v>0.3935398951029857</v>
      </c>
      <c r="L71" s="10">
        <f t="shared" si="32"/>
        <v>-0.93257283099574761</v>
      </c>
      <c r="M71" s="44">
        <f t="shared" si="33"/>
        <v>71</v>
      </c>
      <c r="N71" s="1">
        <f t="shared" si="29"/>
        <v>68</v>
      </c>
      <c r="O71" s="1" t="str">
        <f t="shared" si="30"/>
        <v/>
      </c>
      <c r="P71" s="5"/>
      <c r="Q71" s="5"/>
      <c r="R71" s="5"/>
      <c r="S71" s="5"/>
      <c r="AR71" s="1"/>
      <c r="AS71" s="1">
        <v>72</v>
      </c>
      <c r="AT71" s="1">
        <v>1</v>
      </c>
      <c r="AU71" s="27">
        <f>SUM(AT$2:AT71)/COUNTA(AS$2:AS71)</f>
        <v>0.5</v>
      </c>
      <c r="AV71" s="27">
        <f t="shared" si="31"/>
        <v>0.80701754385964919</v>
      </c>
      <c r="AW71" s="27">
        <v>1</v>
      </c>
      <c r="AY71" s="13">
        <f t="shared" si="22"/>
        <v>3.5945264781731794</v>
      </c>
      <c r="AZ71" s="36">
        <f t="shared" si="23"/>
        <v>36.398460441068814</v>
      </c>
      <c r="BA71" s="23">
        <f t="shared" si="24"/>
        <v>0.97326093138043035</v>
      </c>
    </row>
    <row r="72" spans="1:53" x14ac:dyDescent="0.2">
      <c r="A72" s="1">
        <v>64</v>
      </c>
      <c r="B72" s="1">
        <v>0</v>
      </c>
      <c r="D72" s="42" t="s">
        <v>74</v>
      </c>
      <c r="H72" s="8">
        <f t="shared" si="25"/>
        <v>-2.7296134801648151</v>
      </c>
      <c r="I72" s="39">
        <f t="shared" si="26"/>
        <v>6.5244503089650796E-2</v>
      </c>
      <c r="J72" s="8">
        <f t="shared" si="27"/>
        <v>6.124838278950484E-2</v>
      </c>
      <c r="K72" s="8">
        <f t="shared" si="28"/>
        <v>0.93875161721049516</v>
      </c>
      <c r="L72" s="10">
        <f t="shared" si="32"/>
        <v>-6.3204353177718359E-2</v>
      </c>
      <c r="M72" s="44">
        <f t="shared" si="33"/>
        <v>72</v>
      </c>
      <c r="N72" s="1">
        <f t="shared" si="29"/>
        <v>64</v>
      </c>
      <c r="O72" s="1" t="str">
        <f t="shared" si="30"/>
        <v/>
      </c>
      <c r="P72" s="5"/>
      <c r="Q72" s="5"/>
      <c r="R72" s="5"/>
      <c r="S72" s="5"/>
      <c r="AR72" s="1"/>
      <c r="AS72" s="1">
        <v>72</v>
      </c>
      <c r="AT72" s="1">
        <v>1</v>
      </c>
      <c r="AU72" s="27">
        <f>SUM(AT$2:AT72)/COUNTA(AS$2:AS72)</f>
        <v>0.50704225352112675</v>
      </c>
      <c r="AV72" s="27">
        <f t="shared" si="31"/>
        <v>0.81838398813936253</v>
      </c>
      <c r="AW72" s="27">
        <v>1</v>
      </c>
      <c r="AY72" s="13">
        <f t="shared" si="22"/>
        <v>3.5945264781731794</v>
      </c>
      <c r="AZ72" s="36">
        <f t="shared" si="23"/>
        <v>36.398460441068814</v>
      </c>
      <c r="BA72" s="23">
        <f t="shared" si="24"/>
        <v>0.97326093138043035</v>
      </c>
    </row>
    <row r="73" spans="1:53" x14ac:dyDescent="0.2">
      <c r="A73" s="1">
        <v>68</v>
      </c>
      <c r="B73" s="1">
        <v>0</v>
      </c>
      <c r="D73" s="8">
        <f>AVERAGE(O3:O94)</f>
        <v>70.754385964912274</v>
      </c>
      <c r="E73" s="15" t="str">
        <f ca="1">_xlfn.FORMULATEXT(D73)</f>
        <v>=AVERAGE(O3:O94)</v>
      </c>
      <c r="H73" s="8">
        <f t="shared" si="25"/>
        <v>0.43245649900418215</v>
      </c>
      <c r="I73" s="39">
        <f t="shared" si="26"/>
        <v>1.5410384371279797</v>
      </c>
      <c r="J73" s="8">
        <f t="shared" si="27"/>
        <v>0.6064601048970143</v>
      </c>
      <c r="K73" s="8">
        <f t="shared" si="28"/>
        <v>0.3935398951029857</v>
      </c>
      <c r="L73" s="10">
        <f t="shared" si="32"/>
        <v>-0.93257283099574761</v>
      </c>
      <c r="M73" s="44">
        <f t="shared" si="33"/>
        <v>73</v>
      </c>
      <c r="N73" s="1">
        <f t="shared" si="29"/>
        <v>68</v>
      </c>
      <c r="O73" s="1" t="str">
        <f t="shared" si="30"/>
        <v/>
      </c>
      <c r="P73" s="5"/>
      <c r="Q73" s="5"/>
      <c r="R73" s="5"/>
      <c r="S73" s="5"/>
      <c r="AR73" s="1"/>
      <c r="AS73" s="1">
        <v>72</v>
      </c>
      <c r="AT73" s="1">
        <v>1</v>
      </c>
      <c r="AU73" s="27">
        <f>SUM(AT$2:AT73)/COUNTA(AS$2:AS73)</f>
        <v>0.51388888888888884</v>
      </c>
      <c r="AV73" s="27">
        <f t="shared" si="31"/>
        <v>0.82943469785575041</v>
      </c>
      <c r="AW73" s="27">
        <v>1</v>
      </c>
      <c r="AY73" s="13">
        <f t="shared" si="22"/>
        <v>3.5945264781731794</v>
      </c>
      <c r="AZ73" s="36">
        <f t="shared" si="23"/>
        <v>36.398460441068814</v>
      </c>
      <c r="BA73" s="23">
        <f t="shared" si="24"/>
        <v>0.97326093138043035</v>
      </c>
    </row>
    <row r="74" spans="1:53" x14ac:dyDescent="0.2">
      <c r="A74" s="1">
        <v>73</v>
      </c>
      <c r="B74" s="1">
        <v>1</v>
      </c>
      <c r="D74" s="8">
        <f>AVERAGE(N3:N94)</f>
        <v>65.400000000000006</v>
      </c>
      <c r="E74" s="15" t="str">
        <f ca="1">_xlfn.FORMULATEXT(D74)</f>
        <v>=AVERAGE(N3:N94)</v>
      </c>
      <c r="H74" s="8">
        <f t="shared" si="25"/>
        <v>4.385043972965434</v>
      </c>
      <c r="I74" s="39">
        <f t="shared" si="26"/>
        <v>80.241751603093206</v>
      </c>
      <c r="J74" s="8">
        <f t="shared" si="27"/>
        <v>0.98769105810414448</v>
      </c>
      <c r="K74" s="8">
        <f t="shared" si="28"/>
        <v>0.98769105810414448</v>
      </c>
      <c r="L74" s="10">
        <f t="shared" si="32"/>
        <v>-1.2385324359877211E-2</v>
      </c>
      <c r="M74" s="44">
        <f t="shared" si="33"/>
        <v>74</v>
      </c>
      <c r="N74" s="1" t="str">
        <f t="shared" si="29"/>
        <v/>
      </c>
      <c r="O74" s="1">
        <f t="shared" si="30"/>
        <v>73</v>
      </c>
      <c r="P74" s="5"/>
      <c r="Q74" s="5"/>
      <c r="R74" s="5"/>
      <c r="S74" s="5"/>
      <c r="AR74" s="1"/>
      <c r="AS74" s="1">
        <v>72</v>
      </c>
      <c r="AT74" s="1">
        <v>1</v>
      </c>
      <c r="AU74" s="27">
        <f>SUM(AT$2:AT74)/COUNTA(AS$2:AS74)</f>
        <v>0.52054794520547942</v>
      </c>
      <c r="AV74" s="27">
        <f t="shared" si="31"/>
        <v>0.84018264840182644</v>
      </c>
      <c r="AW74" s="27">
        <v>1</v>
      </c>
      <c r="AY74" s="13">
        <f t="shared" si="22"/>
        <v>3.5945264781731794</v>
      </c>
      <c r="AZ74" s="36">
        <f t="shared" si="23"/>
        <v>36.398460441068814</v>
      </c>
      <c r="BA74" s="23">
        <f t="shared" si="24"/>
        <v>0.97326093138043035</v>
      </c>
    </row>
    <row r="75" spans="1:53" x14ac:dyDescent="0.2">
      <c r="A75" s="1">
        <v>63</v>
      </c>
      <c r="B75" s="1">
        <v>0</v>
      </c>
      <c r="D75" s="15">
        <f>STDEV(O3:O94)</f>
        <v>2.5827774484788506</v>
      </c>
      <c r="E75" s="15" t="str">
        <f t="shared" ref="E75:E80" ca="1" si="34">_xlfn.FORMULATEXT(D75)</f>
        <v>=STDEV(O3:O94)</v>
      </c>
      <c r="H75" s="8">
        <f t="shared" si="25"/>
        <v>-3.5201309749570626</v>
      </c>
      <c r="I75" s="39">
        <f t="shared" si="26"/>
        <v>2.9595558637011583E-2</v>
      </c>
      <c r="J75" s="8">
        <f t="shared" si="27"/>
        <v>2.8744839066895806E-2</v>
      </c>
      <c r="K75" s="8">
        <f t="shared" si="28"/>
        <v>0.97125516093310416</v>
      </c>
      <c r="L75" s="10">
        <f t="shared" si="32"/>
        <v>-2.916606361235978E-2</v>
      </c>
      <c r="M75" s="44">
        <f t="shared" si="33"/>
        <v>75</v>
      </c>
      <c r="N75" s="1">
        <f t="shared" si="29"/>
        <v>63</v>
      </c>
      <c r="O75" s="1" t="str">
        <f t="shared" si="30"/>
        <v/>
      </c>
      <c r="P75" s="5"/>
      <c r="Q75" s="5"/>
      <c r="R75" s="5"/>
      <c r="S75" s="5"/>
      <c r="AR75" s="1"/>
      <c r="AS75" s="1">
        <v>72</v>
      </c>
      <c r="AT75" s="1">
        <v>1</v>
      </c>
      <c r="AU75" s="27">
        <f>SUM(AT$2:AT75)/COUNTA(AS$2:AS75)</f>
        <v>0.52702702702702697</v>
      </c>
      <c r="AV75" s="27">
        <f t="shared" si="31"/>
        <v>0.85064011379800852</v>
      </c>
      <c r="AW75" s="27">
        <v>1</v>
      </c>
      <c r="AY75" s="13">
        <f t="shared" si="22"/>
        <v>3.5945264781731794</v>
      </c>
      <c r="AZ75" s="36">
        <f t="shared" si="23"/>
        <v>36.398460441068814</v>
      </c>
      <c r="BA75" s="23">
        <f t="shared" si="24"/>
        <v>0.97326093138043035</v>
      </c>
    </row>
    <row r="76" spans="1:53" x14ac:dyDescent="0.2">
      <c r="A76" s="1">
        <v>72</v>
      </c>
      <c r="B76" s="1">
        <v>1</v>
      </c>
      <c r="D76" s="15">
        <f>STDEV(N3:N94)</f>
        <v>2.5625986351174621</v>
      </c>
      <c r="E76" s="15" t="str">
        <f t="shared" ca="1" si="34"/>
        <v>=STDEV(N3:N94)</v>
      </c>
      <c r="H76" s="8">
        <f t="shared" si="25"/>
        <v>3.5945264781731794</v>
      </c>
      <c r="I76" s="39">
        <f t="shared" si="26"/>
        <v>36.398460441068814</v>
      </c>
      <c r="J76" s="8">
        <f t="shared" si="27"/>
        <v>0.97326093138043035</v>
      </c>
      <c r="K76" s="8">
        <f t="shared" si="28"/>
        <v>0.97326093138043035</v>
      </c>
      <c r="L76" s="10">
        <f t="shared" si="32"/>
        <v>-2.7103060722713894E-2</v>
      </c>
      <c r="M76" s="44">
        <f t="shared" si="33"/>
        <v>76</v>
      </c>
      <c r="N76" s="1" t="str">
        <f t="shared" si="29"/>
        <v/>
      </c>
      <c r="O76" s="1">
        <f t="shared" si="30"/>
        <v>72</v>
      </c>
      <c r="P76" s="5"/>
      <c r="Q76" s="5"/>
      <c r="R76" s="5"/>
      <c r="S76" s="5"/>
      <c r="AR76" s="1"/>
      <c r="AS76" s="1">
        <v>72</v>
      </c>
      <c r="AT76" s="1">
        <v>1</v>
      </c>
      <c r="AU76" s="27">
        <f>SUM(AT$2:AT76)/COUNTA(AS$2:AS76)</f>
        <v>0.53333333333333333</v>
      </c>
      <c r="AV76" s="27">
        <f t="shared" si="31"/>
        <v>0.86081871345029237</v>
      </c>
      <c r="AW76" s="27">
        <v>1</v>
      </c>
      <c r="AY76" s="13">
        <f t="shared" si="22"/>
        <v>3.5945264781731794</v>
      </c>
      <c r="AZ76" s="36">
        <f t="shared" si="23"/>
        <v>36.398460441068814</v>
      </c>
      <c r="BA76" s="23">
        <f t="shared" si="24"/>
        <v>0.97326093138043035</v>
      </c>
    </row>
    <row r="77" spans="1:53" x14ac:dyDescent="0.2">
      <c r="A77" s="1">
        <v>69</v>
      </c>
      <c r="B77" s="1">
        <v>1</v>
      </c>
      <c r="D77" s="8">
        <f>D73+D75</f>
        <v>73.337163413391124</v>
      </c>
      <c r="E77" s="15" t="str">
        <f t="shared" ca="1" si="34"/>
        <v>=D73+D75</v>
      </c>
      <c r="G77" s="5" t="s">
        <v>70</v>
      </c>
      <c r="H77" s="8">
        <f t="shared" si="25"/>
        <v>1.2229739937964297</v>
      </c>
      <c r="I77" s="39">
        <f t="shared" si="26"/>
        <v>3.397276203015426</v>
      </c>
      <c r="J77" s="8">
        <f t="shared" si="27"/>
        <v>0.77258649358567655</v>
      </c>
      <c r="K77" s="8">
        <f t="shared" si="28"/>
        <v>0.77258649358567655</v>
      </c>
      <c r="L77" s="10">
        <f t="shared" si="32"/>
        <v>-0.25801131067123856</v>
      </c>
      <c r="M77" s="44">
        <f t="shared" si="33"/>
        <v>77</v>
      </c>
      <c r="N77" s="1" t="str">
        <f t="shared" si="29"/>
        <v/>
      </c>
      <c r="O77" s="1">
        <f t="shared" si="30"/>
        <v>69</v>
      </c>
      <c r="P77" s="5"/>
      <c r="Q77" s="5"/>
      <c r="R77" s="5"/>
      <c r="S77" s="5"/>
      <c r="AR77" s="1"/>
      <c r="AS77" s="1">
        <v>73</v>
      </c>
      <c r="AT77" s="1">
        <v>1</v>
      </c>
      <c r="AU77" s="27">
        <f>SUM(AT$2:AT77)/COUNTA(AS$2:AS77)</f>
        <v>0.53947368421052633</v>
      </c>
      <c r="AV77" s="27">
        <f t="shared" si="31"/>
        <v>0.87072945521698986</v>
      </c>
      <c r="AW77" s="27">
        <v>1</v>
      </c>
      <c r="AY77" s="13">
        <f t="shared" si="22"/>
        <v>4.385043972965434</v>
      </c>
      <c r="AZ77" s="36">
        <f t="shared" si="23"/>
        <v>80.241751603093206</v>
      </c>
      <c r="BA77" s="23">
        <f t="shared" si="24"/>
        <v>0.98769105810414448</v>
      </c>
    </row>
    <row r="78" spans="1:53" x14ac:dyDescent="0.2">
      <c r="A78" s="1">
        <v>66</v>
      </c>
      <c r="B78" s="1">
        <v>0</v>
      </c>
      <c r="D78" s="8">
        <f>D74-D76</f>
        <v>62.837401364882545</v>
      </c>
      <c r="E78" s="15" t="str">
        <f t="shared" ca="1" si="34"/>
        <v>=D74-D76</v>
      </c>
      <c r="G78" s="5" t="s">
        <v>71</v>
      </c>
      <c r="H78" s="8">
        <f t="shared" si="25"/>
        <v>-1.1485784905803129</v>
      </c>
      <c r="I78" s="39">
        <f t="shared" si="26"/>
        <v>0.31708719159320803</v>
      </c>
      <c r="J78" s="8">
        <f t="shared" si="27"/>
        <v>0.24074882332554237</v>
      </c>
      <c r="K78" s="8">
        <f t="shared" si="28"/>
        <v>0.75925117667445763</v>
      </c>
      <c r="L78" s="10">
        <f t="shared" si="32"/>
        <v>-0.27542262527222117</v>
      </c>
      <c r="M78" s="44">
        <f t="shared" si="33"/>
        <v>78</v>
      </c>
      <c r="N78" s="1">
        <f t="shared" si="29"/>
        <v>66</v>
      </c>
      <c r="O78" s="1" t="str">
        <f t="shared" si="30"/>
        <v/>
      </c>
      <c r="P78" s="5"/>
      <c r="Q78" s="5"/>
      <c r="R78" s="5"/>
      <c r="S78" s="5"/>
      <c r="AR78" s="1"/>
      <c r="AS78" s="1">
        <v>73</v>
      </c>
      <c r="AT78" s="1">
        <v>1</v>
      </c>
      <c r="AU78" s="27">
        <f>SUM(AT$2:AT78)/COUNTA(AS$2:AS78)</f>
        <v>0.54545454545454541</v>
      </c>
      <c r="AV78" s="27">
        <f t="shared" si="31"/>
        <v>0.88038277511961716</v>
      </c>
      <c r="AW78" s="27">
        <v>1</v>
      </c>
      <c r="AY78" s="13">
        <f t="shared" si="22"/>
        <v>4.385043972965434</v>
      </c>
      <c r="AZ78" s="36">
        <f t="shared" si="23"/>
        <v>80.241751603093206</v>
      </c>
      <c r="BA78" s="23">
        <f t="shared" si="24"/>
        <v>0.98769105810414448</v>
      </c>
    </row>
    <row r="79" spans="1:53" x14ac:dyDescent="0.2">
      <c r="A79" s="1">
        <v>65</v>
      </c>
      <c r="B79" s="1">
        <v>0</v>
      </c>
      <c r="D79" s="22">
        <f>(D77-D33)/D33</f>
        <v>8.6263181827365767E-3</v>
      </c>
      <c r="E79" s="15" t="str">
        <f t="shared" ca="1" si="34"/>
        <v>=(D77-D33)/D33</v>
      </c>
      <c r="G79" s="5" t="s">
        <v>73</v>
      </c>
      <c r="H79" s="8">
        <f t="shared" si="25"/>
        <v>-1.9390959853725676</v>
      </c>
      <c r="I79" s="39">
        <f t="shared" si="26"/>
        <v>0.14383391898850426</v>
      </c>
      <c r="J79" s="8">
        <f t="shared" si="27"/>
        <v>0.1257472056045488</v>
      </c>
      <c r="K79" s="8">
        <f t="shared" si="28"/>
        <v>0.87425279439545123</v>
      </c>
      <c r="L79" s="10">
        <f t="shared" si="32"/>
        <v>-0.13438570670924338</v>
      </c>
      <c r="M79" s="44">
        <f t="shared" si="33"/>
        <v>79</v>
      </c>
      <c r="N79" s="1">
        <f t="shared" si="29"/>
        <v>65</v>
      </c>
      <c r="O79" s="1" t="str">
        <f t="shared" si="30"/>
        <v/>
      </c>
      <c r="P79" s="5"/>
      <c r="Q79" s="5"/>
      <c r="R79" s="5"/>
      <c r="S79" s="5"/>
      <c r="AR79" s="1"/>
      <c r="AS79" s="1">
        <v>73</v>
      </c>
      <c r="AT79" s="1">
        <v>1</v>
      </c>
      <c r="AU79" s="27">
        <f>SUM(AT$2:AT79)/COUNTA(AS$2:AS79)</f>
        <v>0.55128205128205132</v>
      </c>
      <c r="AV79" s="27">
        <f t="shared" si="31"/>
        <v>0.88978857399910039</v>
      </c>
      <c r="AW79" s="27">
        <v>1</v>
      </c>
      <c r="AY79" s="13">
        <f t="shared" si="22"/>
        <v>4.385043972965434</v>
      </c>
      <c r="AZ79" s="36">
        <f t="shared" si="23"/>
        <v>80.241751603093206</v>
      </c>
      <c r="BA79" s="23">
        <f t="shared" si="24"/>
        <v>0.98769105810414448</v>
      </c>
    </row>
    <row r="80" spans="1:53" x14ac:dyDescent="0.2">
      <c r="A80" s="1">
        <v>67</v>
      </c>
      <c r="B80" s="1">
        <v>0</v>
      </c>
      <c r="D80" s="22">
        <f>(D78-D31)/D31</f>
        <v>1.0000248471062885E-2</v>
      </c>
      <c r="E80" s="15" t="str">
        <f t="shared" ca="1" si="34"/>
        <v>=(D78-D31)/D31</v>
      </c>
      <c r="G80" s="5" t="s">
        <v>72</v>
      </c>
      <c r="H80" s="8">
        <f t="shared" si="25"/>
        <v>-0.35806099578806538</v>
      </c>
      <c r="I80" s="39">
        <f t="shared" si="26"/>
        <v>0.69903043579381974</v>
      </c>
      <c r="J80" s="8">
        <f t="shared" si="27"/>
        <v>0.41142902508819346</v>
      </c>
      <c r="K80" s="8">
        <f t="shared" si="28"/>
        <v>0.58857097491180654</v>
      </c>
      <c r="L80" s="10">
        <f t="shared" si="32"/>
        <v>-0.53005775647508657</v>
      </c>
      <c r="M80" s="44">
        <f t="shared" si="33"/>
        <v>80</v>
      </c>
      <c r="N80" s="1">
        <f t="shared" si="29"/>
        <v>67</v>
      </c>
      <c r="O80" s="1" t="str">
        <f t="shared" si="30"/>
        <v/>
      </c>
      <c r="P80" s="5"/>
      <c r="Q80" s="5"/>
      <c r="R80" s="5"/>
      <c r="S80" s="5"/>
      <c r="AR80" s="1"/>
      <c r="AS80" s="1">
        <v>73</v>
      </c>
      <c r="AT80" s="1">
        <v>1</v>
      </c>
      <c r="AU80" s="27">
        <f>SUM(AT$2:AT80)/COUNTA(AS$2:AS80)</f>
        <v>0.55696202531645567</v>
      </c>
      <c r="AV80" s="27">
        <f t="shared" si="31"/>
        <v>0.89895625138796353</v>
      </c>
      <c r="AW80" s="27">
        <v>1</v>
      </c>
      <c r="AY80" s="13">
        <f t="shared" si="22"/>
        <v>4.385043972965434</v>
      </c>
      <c r="AZ80" s="36">
        <f t="shared" si="23"/>
        <v>80.241751603093206</v>
      </c>
      <c r="BA80" s="23">
        <f t="shared" si="24"/>
        <v>0.98769105810414448</v>
      </c>
    </row>
    <row r="81" spans="1:53" x14ac:dyDescent="0.2">
      <c r="A81" s="1">
        <v>63</v>
      </c>
      <c r="B81" s="1">
        <v>0</v>
      </c>
      <c r="H81" s="8">
        <f t="shared" si="25"/>
        <v>-3.5201309749570626</v>
      </c>
      <c r="I81" s="39">
        <f t="shared" si="26"/>
        <v>2.9595558637011583E-2</v>
      </c>
      <c r="J81" s="8">
        <f t="shared" si="27"/>
        <v>2.8744839066895806E-2</v>
      </c>
      <c r="K81" s="8">
        <f t="shared" si="28"/>
        <v>0.97125516093310416</v>
      </c>
      <c r="L81" s="10">
        <f t="shared" si="32"/>
        <v>-2.916606361235978E-2</v>
      </c>
      <c r="M81" s="44">
        <f t="shared" si="33"/>
        <v>81</v>
      </c>
      <c r="N81" s="1">
        <f t="shared" si="29"/>
        <v>63</v>
      </c>
      <c r="O81" s="1" t="str">
        <f t="shared" si="30"/>
        <v/>
      </c>
      <c r="P81" s="5"/>
      <c r="Q81" s="5"/>
      <c r="R81" s="5"/>
      <c r="S81" s="5"/>
      <c r="AR81" s="1"/>
      <c r="AS81" s="1">
        <v>73</v>
      </c>
      <c r="AT81" s="1">
        <v>1</v>
      </c>
      <c r="AU81" s="27">
        <f>SUM(AT$2:AT81)/COUNTA(AS$2:AS81)</f>
        <v>0.5625</v>
      </c>
      <c r="AV81" s="27">
        <f t="shared" si="31"/>
        <v>0.90789473684210531</v>
      </c>
      <c r="AW81" s="27">
        <v>1</v>
      </c>
      <c r="AY81" s="13">
        <f t="shared" si="22"/>
        <v>4.385043972965434</v>
      </c>
      <c r="AZ81" s="36">
        <f t="shared" si="23"/>
        <v>80.241751603093206</v>
      </c>
      <c r="BA81" s="23">
        <f t="shared" si="24"/>
        <v>0.98769105810414448</v>
      </c>
    </row>
    <row r="82" spans="1:53" x14ac:dyDescent="0.2">
      <c r="A82" s="1">
        <v>69</v>
      </c>
      <c r="B82" s="1">
        <v>0</v>
      </c>
      <c r="H82" s="8">
        <f t="shared" si="25"/>
        <v>1.2229739937964297</v>
      </c>
      <c r="I82" s="39">
        <f t="shared" si="26"/>
        <v>3.397276203015426</v>
      </c>
      <c r="J82" s="8">
        <f t="shared" si="27"/>
        <v>0.77258649358567655</v>
      </c>
      <c r="K82" s="8">
        <f t="shared" si="28"/>
        <v>0.22741350641432345</v>
      </c>
      <c r="L82" s="10">
        <f t="shared" si="32"/>
        <v>-1.4809853044676677</v>
      </c>
      <c r="M82" s="44">
        <f t="shared" si="33"/>
        <v>82</v>
      </c>
      <c r="N82" s="1">
        <f t="shared" si="29"/>
        <v>69</v>
      </c>
      <c r="O82" s="1" t="str">
        <f t="shared" si="30"/>
        <v/>
      </c>
      <c r="P82" s="5"/>
      <c r="Q82" s="5"/>
      <c r="R82" s="5"/>
      <c r="S82" s="5"/>
      <c r="AR82" s="1"/>
      <c r="AS82" s="1">
        <v>73</v>
      </c>
      <c r="AT82" s="1">
        <v>1</v>
      </c>
      <c r="AU82" s="27">
        <f>SUM(AT$2:AT82)/COUNTA(AS$2:AS82)</f>
        <v>0.5679012345679012</v>
      </c>
      <c r="AV82" s="27">
        <f t="shared" si="31"/>
        <v>0.91661251895170026</v>
      </c>
      <c r="AW82" s="27">
        <v>1</v>
      </c>
      <c r="AY82" s="13">
        <f t="shared" si="22"/>
        <v>4.385043972965434</v>
      </c>
      <c r="AZ82" s="36">
        <f t="shared" si="23"/>
        <v>80.241751603093206</v>
      </c>
      <c r="BA82" s="23">
        <f t="shared" si="24"/>
        <v>0.98769105810414448</v>
      </c>
    </row>
    <row r="83" spans="1:53" x14ac:dyDescent="0.2">
      <c r="A83" s="1">
        <v>73.5</v>
      </c>
      <c r="B83" s="1">
        <v>1</v>
      </c>
      <c r="H83" s="8">
        <f t="shared" si="25"/>
        <v>4.7803027203615542</v>
      </c>
      <c r="I83" s="39">
        <f t="shared" si="26"/>
        <v>119.14041081461134</v>
      </c>
      <c r="J83" s="8">
        <f t="shared" si="27"/>
        <v>0.99167640602175811</v>
      </c>
      <c r="K83" s="8">
        <f t="shared" si="28"/>
        <v>0.99167640602175811</v>
      </c>
      <c r="L83" s="10">
        <f t="shared" si="32"/>
        <v>-8.3584285203327276E-3</v>
      </c>
      <c r="M83" s="44">
        <f t="shared" si="33"/>
        <v>83</v>
      </c>
      <c r="N83" s="1" t="str">
        <f t="shared" si="29"/>
        <v/>
      </c>
      <c r="O83" s="1">
        <f t="shared" si="30"/>
        <v>73.5</v>
      </c>
      <c r="P83" s="5"/>
      <c r="Q83" s="5"/>
      <c r="R83" s="5"/>
      <c r="S83" s="5"/>
      <c r="AR83" s="1"/>
      <c r="AS83" s="1">
        <v>73</v>
      </c>
      <c r="AT83" s="1">
        <v>1</v>
      </c>
      <c r="AU83" s="27">
        <f>SUM(AT$2:AT83)/COUNTA(AS$2:AS83)</f>
        <v>0.57317073170731703</v>
      </c>
      <c r="AV83" s="27">
        <f t="shared" si="31"/>
        <v>0.92511767222935382</v>
      </c>
      <c r="AW83" s="27">
        <v>1</v>
      </c>
      <c r="AY83" s="13">
        <f t="shared" si="22"/>
        <v>4.385043972965434</v>
      </c>
      <c r="AZ83" s="36">
        <f t="shared" si="23"/>
        <v>80.241751603093206</v>
      </c>
      <c r="BA83" s="23">
        <f t="shared" si="24"/>
        <v>0.98769105810414448</v>
      </c>
    </row>
    <row r="84" spans="1:53" x14ac:dyDescent="0.2">
      <c r="A84" s="1">
        <v>65</v>
      </c>
      <c r="B84" s="1">
        <v>0</v>
      </c>
      <c r="H84" s="8">
        <f t="shared" si="25"/>
        <v>-1.9390959853725676</v>
      </c>
      <c r="I84" s="39">
        <f t="shared" si="26"/>
        <v>0.14383391898850426</v>
      </c>
      <c r="J84" s="8">
        <f t="shared" si="27"/>
        <v>0.1257472056045488</v>
      </c>
      <c r="K84" s="8">
        <f t="shared" si="28"/>
        <v>0.87425279439545123</v>
      </c>
      <c r="L84" s="10">
        <f t="shared" si="32"/>
        <v>-0.13438570670924338</v>
      </c>
      <c r="M84" s="44">
        <f t="shared" si="33"/>
        <v>84</v>
      </c>
      <c r="N84" s="1">
        <f t="shared" si="29"/>
        <v>65</v>
      </c>
      <c r="O84" s="1" t="str">
        <f t="shared" si="30"/>
        <v/>
      </c>
      <c r="P84" s="5"/>
      <c r="Q84" s="5"/>
      <c r="R84" s="5"/>
      <c r="S84" s="5"/>
      <c r="AR84" s="1"/>
      <c r="AS84" s="1">
        <v>73.5</v>
      </c>
      <c r="AT84" s="1">
        <v>1</v>
      </c>
      <c r="AU84" s="27">
        <f>SUM(AT$2:AT84)/COUNTA(AS$2:AS84)</f>
        <v>0.57831325301204817</v>
      </c>
      <c r="AV84" s="27">
        <f t="shared" si="31"/>
        <v>0.93341788205453391</v>
      </c>
      <c r="AW84" s="27">
        <v>1</v>
      </c>
      <c r="AY84" s="13">
        <f t="shared" si="22"/>
        <v>4.7803027203615542</v>
      </c>
      <c r="AZ84" s="36">
        <f t="shared" si="23"/>
        <v>119.14041081461134</v>
      </c>
      <c r="BA84" s="23">
        <f t="shared" si="24"/>
        <v>0.99167640602175811</v>
      </c>
    </row>
    <row r="85" spans="1:53" x14ac:dyDescent="0.2">
      <c r="A85" s="1">
        <v>74</v>
      </c>
      <c r="B85" s="1">
        <v>1</v>
      </c>
      <c r="H85" s="8">
        <f t="shared" si="25"/>
        <v>5.1755614677576816</v>
      </c>
      <c r="I85" s="39">
        <f t="shared" si="26"/>
        <v>176.8959077474486</v>
      </c>
      <c r="J85" s="8">
        <f t="shared" si="27"/>
        <v>0.99437873522408593</v>
      </c>
      <c r="K85" s="8">
        <f t="shared" si="28"/>
        <v>0.99437873522408593</v>
      </c>
      <c r="L85" s="10">
        <f t="shared" si="32"/>
        <v>-5.6371235435660281E-3</v>
      </c>
      <c r="M85" s="44">
        <f t="shared" si="33"/>
        <v>85</v>
      </c>
      <c r="N85" s="1" t="str">
        <f t="shared" si="29"/>
        <v/>
      </c>
      <c r="O85" s="1">
        <f t="shared" si="30"/>
        <v>74</v>
      </c>
      <c r="P85" s="5"/>
      <c r="Q85" s="5"/>
      <c r="R85" s="5"/>
      <c r="S85" s="5"/>
      <c r="AR85" s="1"/>
      <c r="AS85" s="1">
        <v>73.5</v>
      </c>
      <c r="AT85" s="1">
        <v>1</v>
      </c>
      <c r="AU85" s="27">
        <f>SUM(AT$2:AT85)/COUNTA(AS$2:AS85)</f>
        <v>0.58333333333333337</v>
      </c>
      <c r="AV85" s="27">
        <f t="shared" si="31"/>
        <v>0.94152046783625742</v>
      </c>
      <c r="AW85" s="27">
        <v>1</v>
      </c>
      <c r="AY85" s="13">
        <f t="shared" si="22"/>
        <v>4.7803027203615542</v>
      </c>
      <c r="AZ85" s="36">
        <f t="shared" si="23"/>
        <v>119.14041081461134</v>
      </c>
      <c r="BA85" s="23">
        <f t="shared" si="24"/>
        <v>0.99167640602175811</v>
      </c>
    </row>
    <row r="86" spans="1:53" x14ac:dyDescent="0.2">
      <c r="A86" s="1">
        <v>67</v>
      </c>
      <c r="B86" s="1">
        <v>1</v>
      </c>
      <c r="H86" s="8">
        <f t="shared" si="25"/>
        <v>-0.35806099578806538</v>
      </c>
      <c r="I86" s="39">
        <f t="shared" si="26"/>
        <v>0.69903043579381974</v>
      </c>
      <c r="J86" s="8">
        <f t="shared" si="27"/>
        <v>0.41142902508819346</v>
      </c>
      <c r="K86" s="8">
        <f t="shared" si="28"/>
        <v>0.41142902508819346</v>
      </c>
      <c r="L86" s="10">
        <f t="shared" si="32"/>
        <v>-0.88811875226315196</v>
      </c>
      <c r="M86" s="44">
        <f t="shared" si="33"/>
        <v>86</v>
      </c>
      <c r="N86" s="1" t="str">
        <f t="shared" si="29"/>
        <v/>
      </c>
      <c r="O86" s="1">
        <f t="shared" si="30"/>
        <v>67</v>
      </c>
      <c r="P86" s="5"/>
      <c r="Q86" s="5"/>
      <c r="R86" s="5"/>
      <c r="S86" s="5"/>
      <c r="AR86" s="1"/>
      <c r="AS86" s="1">
        <v>74</v>
      </c>
      <c r="AT86" s="1">
        <v>1</v>
      </c>
      <c r="AU86" s="27">
        <f>SUM(AT$2:AT86)/COUNTA(AS$2:AS86)</f>
        <v>0.58823529411764708</v>
      </c>
      <c r="AV86" s="27">
        <f t="shared" si="31"/>
        <v>0.94943240454076372</v>
      </c>
      <c r="AW86" s="27">
        <v>1</v>
      </c>
      <c r="AY86" s="13">
        <f t="shared" si="22"/>
        <v>5.1755614677576816</v>
      </c>
      <c r="AZ86" s="36">
        <f t="shared" si="23"/>
        <v>176.8959077474486</v>
      </c>
      <c r="BA86" s="23">
        <f t="shared" si="24"/>
        <v>0.99437873522408593</v>
      </c>
    </row>
    <row r="87" spans="1:53" x14ac:dyDescent="0.2">
      <c r="A87" s="1">
        <v>68</v>
      </c>
      <c r="B87" s="1">
        <v>1</v>
      </c>
      <c r="H87" s="8">
        <f t="shared" si="25"/>
        <v>0.43245649900418215</v>
      </c>
      <c r="I87" s="39">
        <f t="shared" si="26"/>
        <v>1.5410384371279797</v>
      </c>
      <c r="J87" s="8">
        <f t="shared" si="27"/>
        <v>0.6064601048970143</v>
      </c>
      <c r="K87" s="8">
        <f t="shared" si="28"/>
        <v>0.6064601048970143</v>
      </c>
      <c r="L87" s="10">
        <f t="shared" si="32"/>
        <v>-0.50011633199156535</v>
      </c>
      <c r="M87" s="44">
        <f t="shared" si="33"/>
        <v>87</v>
      </c>
      <c r="N87" s="1" t="str">
        <f t="shared" si="29"/>
        <v/>
      </c>
      <c r="O87" s="1">
        <f t="shared" si="30"/>
        <v>68</v>
      </c>
      <c r="P87" s="5"/>
      <c r="Q87" s="5"/>
      <c r="R87" s="5"/>
      <c r="S87" s="5"/>
      <c r="AR87" s="1"/>
      <c r="AS87" s="1">
        <v>74</v>
      </c>
      <c r="AT87" s="1">
        <v>1</v>
      </c>
      <c r="AU87" s="27">
        <f>SUM(AT$2:AT87)/COUNTA(AS$2:AS87)</f>
        <v>0.59302325581395354</v>
      </c>
      <c r="AV87" s="27">
        <f t="shared" si="31"/>
        <v>0.95716034271725836</v>
      </c>
      <c r="AW87" s="27">
        <v>1</v>
      </c>
      <c r="AY87" s="13">
        <f t="shared" si="22"/>
        <v>5.1755614677576816</v>
      </c>
      <c r="AZ87" s="36">
        <f t="shared" si="23"/>
        <v>176.8959077474486</v>
      </c>
      <c r="BA87" s="23">
        <f t="shared" si="24"/>
        <v>0.99437873522408593</v>
      </c>
    </row>
    <row r="88" spans="1:53" x14ac:dyDescent="0.2">
      <c r="A88" s="1">
        <v>64</v>
      </c>
      <c r="B88" s="1">
        <v>0</v>
      </c>
      <c r="H88" s="8">
        <f t="shared" si="25"/>
        <v>-2.7296134801648151</v>
      </c>
      <c r="I88" s="39">
        <f t="shared" si="26"/>
        <v>6.5244503089650796E-2</v>
      </c>
      <c r="J88" s="8">
        <f t="shared" si="27"/>
        <v>6.124838278950484E-2</v>
      </c>
      <c r="K88" s="8">
        <f t="shared" si="28"/>
        <v>0.93875161721049516</v>
      </c>
      <c r="L88" s="10">
        <f t="shared" si="32"/>
        <v>-6.3204353177718359E-2</v>
      </c>
      <c r="M88" s="44">
        <f t="shared" si="33"/>
        <v>88</v>
      </c>
      <c r="N88" s="1">
        <f t="shared" si="29"/>
        <v>64</v>
      </c>
      <c r="O88" s="1" t="str">
        <f t="shared" si="30"/>
        <v/>
      </c>
      <c r="P88" s="5"/>
      <c r="Q88" s="5"/>
      <c r="R88" s="5"/>
      <c r="S88" s="5"/>
      <c r="AR88" s="1"/>
      <c r="AS88" s="1">
        <v>74</v>
      </c>
      <c r="AT88" s="1">
        <v>1</v>
      </c>
      <c r="AU88" s="27">
        <f>SUM(AT$2:AT88)/COUNTA(AS$2:AS88)</f>
        <v>0.5977011494252874</v>
      </c>
      <c r="AV88" s="27">
        <f t="shared" si="31"/>
        <v>0.96471062714256917</v>
      </c>
      <c r="AW88" s="27">
        <v>1</v>
      </c>
      <c r="AY88" s="13">
        <f t="shared" si="22"/>
        <v>5.1755614677576816</v>
      </c>
      <c r="AZ88" s="36">
        <f t="shared" si="23"/>
        <v>176.8959077474486</v>
      </c>
      <c r="BA88" s="23">
        <f t="shared" si="24"/>
        <v>0.99437873522408593</v>
      </c>
    </row>
    <row r="89" spans="1:53" x14ac:dyDescent="0.2">
      <c r="A89" s="1">
        <v>70</v>
      </c>
      <c r="B89" s="1">
        <v>1</v>
      </c>
      <c r="H89" s="8">
        <f t="shared" si="25"/>
        <v>2.0134914885886843</v>
      </c>
      <c r="I89" s="39">
        <f t="shared" si="26"/>
        <v>7.4894209784181367</v>
      </c>
      <c r="J89" s="8">
        <f t="shared" si="27"/>
        <v>0.88220633626931599</v>
      </c>
      <c r="K89" s="8">
        <f t="shared" si="28"/>
        <v>0.88220633626931599</v>
      </c>
      <c r="L89" s="10">
        <f t="shared" si="32"/>
        <v>-0.12532930898692515</v>
      </c>
      <c r="M89" s="44">
        <f t="shared" si="33"/>
        <v>89</v>
      </c>
      <c r="N89" s="1" t="str">
        <f t="shared" si="29"/>
        <v/>
      </c>
      <c r="O89" s="1">
        <f t="shared" si="30"/>
        <v>70</v>
      </c>
      <c r="P89" s="5"/>
      <c r="Q89" s="5"/>
      <c r="R89" s="5"/>
      <c r="S89" s="5"/>
      <c r="AR89" s="1"/>
      <c r="AS89" s="1">
        <v>74</v>
      </c>
      <c r="AT89" s="1">
        <v>1</v>
      </c>
      <c r="AU89" s="27">
        <f>SUM(AT$2:AT89)/COUNTA(AS$2:AS89)</f>
        <v>0.60227272727272729</v>
      </c>
      <c r="AV89" s="27">
        <f t="shared" si="31"/>
        <v>0.97208931419457745</v>
      </c>
      <c r="AW89" s="27">
        <v>1</v>
      </c>
      <c r="AY89" s="13">
        <f t="shared" si="22"/>
        <v>5.1755614677576816</v>
      </c>
      <c r="AZ89" s="36">
        <f t="shared" si="23"/>
        <v>176.8959077474486</v>
      </c>
      <c r="BA89" s="23">
        <f t="shared" si="24"/>
        <v>0.99437873522408593</v>
      </c>
    </row>
    <row r="90" spans="1:53" x14ac:dyDescent="0.2">
      <c r="A90" s="1">
        <v>69</v>
      </c>
      <c r="B90" s="1">
        <v>1</v>
      </c>
      <c r="H90" s="8">
        <f t="shared" si="25"/>
        <v>1.2229739937964297</v>
      </c>
      <c r="I90" s="39">
        <f t="shared" si="26"/>
        <v>3.397276203015426</v>
      </c>
      <c r="J90" s="8">
        <f t="shared" si="27"/>
        <v>0.77258649358567655</v>
      </c>
      <c r="K90" s="8">
        <f t="shared" si="28"/>
        <v>0.77258649358567655</v>
      </c>
      <c r="L90" s="10">
        <f t="shared" si="32"/>
        <v>-0.25801131067123856</v>
      </c>
      <c r="M90" s="44">
        <f t="shared" si="33"/>
        <v>90</v>
      </c>
      <c r="N90" s="1" t="str">
        <f t="shared" si="29"/>
        <v/>
      </c>
      <c r="O90" s="1">
        <f t="shared" si="30"/>
        <v>69</v>
      </c>
      <c r="P90" s="5"/>
      <c r="Q90" s="5"/>
      <c r="R90" s="5"/>
      <c r="S90" s="5"/>
      <c r="AR90" s="1"/>
      <c r="AS90" s="1">
        <v>74</v>
      </c>
      <c r="AT90" s="1">
        <v>1</v>
      </c>
      <c r="AU90" s="27">
        <f>SUM(AT$2:AT90)/COUNTA(AS$2:AS90)</f>
        <v>0.6067415730337079</v>
      </c>
      <c r="AV90" s="27">
        <f t="shared" si="31"/>
        <v>0.97930218805440583</v>
      </c>
      <c r="AW90" s="27">
        <v>1</v>
      </c>
      <c r="AY90" s="13">
        <f t="shared" si="22"/>
        <v>5.1755614677576816</v>
      </c>
      <c r="AZ90" s="36">
        <f t="shared" si="23"/>
        <v>176.8959077474486</v>
      </c>
      <c r="BA90" s="23">
        <f t="shared" si="24"/>
        <v>0.99437873522408593</v>
      </c>
    </row>
    <row r="91" spans="1:53" x14ac:dyDescent="0.2">
      <c r="A91" s="1">
        <v>62</v>
      </c>
      <c r="B91" s="1">
        <v>0</v>
      </c>
      <c r="H91" s="8">
        <f t="shared" si="25"/>
        <v>-4.3106484697493173</v>
      </c>
      <c r="I91" s="39">
        <f t="shared" si="26"/>
        <v>1.342484116758828E-2</v>
      </c>
      <c r="J91" s="8">
        <f t="shared" si="27"/>
        <v>1.3247002266217625E-2</v>
      </c>
      <c r="K91" s="8">
        <f t="shared" si="28"/>
        <v>0.98675299773378233</v>
      </c>
      <c r="L91" s="10">
        <f t="shared" si="32"/>
        <v>-1.333552645668367E-2</v>
      </c>
      <c r="M91" s="44">
        <f t="shared" si="33"/>
        <v>91</v>
      </c>
      <c r="N91" s="1">
        <f t="shared" si="29"/>
        <v>62</v>
      </c>
      <c r="O91" s="1" t="str">
        <f t="shared" si="30"/>
        <v/>
      </c>
      <c r="P91" s="5"/>
      <c r="Q91" s="5"/>
      <c r="R91" s="5"/>
      <c r="S91" s="5"/>
      <c r="AR91" s="1"/>
      <c r="AS91" s="1">
        <v>75</v>
      </c>
      <c r="AT91" s="1">
        <v>1</v>
      </c>
      <c r="AU91" s="27">
        <f>SUM(AT$2:AT91)/COUNTA(AS$2:AS91)</f>
        <v>0.61111111111111116</v>
      </c>
      <c r="AV91" s="27">
        <f t="shared" si="31"/>
        <v>0.98635477582846021</v>
      </c>
      <c r="AW91" s="27">
        <v>1</v>
      </c>
      <c r="AY91" s="13">
        <f t="shared" si="22"/>
        <v>5.9660789625499291</v>
      </c>
      <c r="AZ91" s="36">
        <f t="shared" si="23"/>
        <v>389.97356803197664</v>
      </c>
      <c r="BA91" s="23">
        <f t="shared" si="24"/>
        <v>0.99744228233884547</v>
      </c>
    </row>
    <row r="92" spans="1:53" x14ac:dyDescent="0.2">
      <c r="A92" s="1">
        <v>61</v>
      </c>
      <c r="B92" s="1">
        <v>0</v>
      </c>
      <c r="H92" s="8">
        <f t="shared" si="25"/>
        <v>-5.1011659645415648</v>
      </c>
      <c r="I92" s="39">
        <f t="shared" si="26"/>
        <v>6.0896421177732748E-3</v>
      </c>
      <c r="J92" s="8">
        <f t="shared" si="27"/>
        <v>6.0527828364824966E-3</v>
      </c>
      <c r="K92" s="8">
        <f t="shared" si="28"/>
        <v>0.99394721716351753</v>
      </c>
      <c r="L92" s="10">
        <f t="shared" si="32"/>
        <v>-6.0711751806480614E-3</v>
      </c>
      <c r="M92" s="44">
        <f t="shared" si="33"/>
        <v>92</v>
      </c>
      <c r="N92" s="1">
        <f t="shared" si="29"/>
        <v>61</v>
      </c>
      <c r="O92" s="1" t="str">
        <f t="shared" si="30"/>
        <v/>
      </c>
      <c r="P92" s="5"/>
      <c r="Q92" s="5"/>
      <c r="R92" s="5"/>
      <c r="S92" s="5"/>
      <c r="AR92" s="1"/>
      <c r="AS92" s="1">
        <v>75</v>
      </c>
      <c r="AT92" s="1">
        <v>1</v>
      </c>
      <c r="AU92" s="27">
        <f>SUM(AT$2:AT92)/COUNTA(AS$2:AS92)</f>
        <v>0.61538461538461542</v>
      </c>
      <c r="AV92" s="27">
        <f t="shared" si="31"/>
        <v>0.99325236167341435</v>
      </c>
      <c r="AW92" s="27">
        <v>1</v>
      </c>
      <c r="AY92" s="13">
        <f t="shared" si="22"/>
        <v>5.9660789625499291</v>
      </c>
      <c r="AZ92" s="36">
        <f t="shared" si="23"/>
        <v>389.97356803197664</v>
      </c>
      <c r="BA92" s="23">
        <f t="shared" si="24"/>
        <v>0.99744228233884547</v>
      </c>
    </row>
    <row r="93" spans="1:53" x14ac:dyDescent="0.2">
      <c r="A93" s="1">
        <v>68</v>
      </c>
      <c r="B93" s="1">
        <v>0</v>
      </c>
      <c r="H93" s="8">
        <f t="shared" si="25"/>
        <v>0.43245649900418215</v>
      </c>
      <c r="I93" s="39">
        <f t="shared" si="26"/>
        <v>1.5410384371279797</v>
      </c>
      <c r="J93" s="8">
        <f t="shared" si="27"/>
        <v>0.6064601048970143</v>
      </c>
      <c r="K93" s="8">
        <f t="shared" si="28"/>
        <v>0.3935398951029857</v>
      </c>
      <c r="L93" s="10">
        <f t="shared" si="32"/>
        <v>-0.93257283099574761</v>
      </c>
      <c r="M93" s="44">
        <f t="shared" si="33"/>
        <v>93</v>
      </c>
      <c r="N93" s="1">
        <f t="shared" si="29"/>
        <v>68</v>
      </c>
      <c r="O93" s="1" t="str">
        <f t="shared" si="30"/>
        <v/>
      </c>
      <c r="P93" s="5"/>
      <c r="Q93" s="5"/>
      <c r="R93" s="5"/>
      <c r="S93" s="5"/>
      <c r="AR93" s="1"/>
      <c r="AS93" s="1">
        <v>75</v>
      </c>
      <c r="AT93" s="1">
        <v>1</v>
      </c>
      <c r="AU93" s="27">
        <f>SUM(AT$2:AT93)/COUNTA(AS$2:AS93)</f>
        <v>0.61956521739130432</v>
      </c>
      <c r="AV93" s="27">
        <f t="shared" si="31"/>
        <v>1</v>
      </c>
      <c r="AW93" s="27">
        <v>1</v>
      </c>
      <c r="AY93" s="13">
        <f t="shared" si="22"/>
        <v>5.9660789625499291</v>
      </c>
      <c r="AZ93" s="36">
        <f t="shared" si="23"/>
        <v>389.97356803197664</v>
      </c>
      <c r="BA93" s="23">
        <f t="shared" si="24"/>
        <v>0.99744228233884547</v>
      </c>
    </row>
    <row r="94" spans="1:53" x14ac:dyDescent="0.2">
      <c r="A94" s="1">
        <v>63</v>
      </c>
      <c r="B94" s="1">
        <v>0</v>
      </c>
      <c r="H94" s="8">
        <f t="shared" si="25"/>
        <v>-3.5201309749570626</v>
      </c>
      <c r="I94" s="39">
        <f t="shared" si="26"/>
        <v>2.9595558637011583E-2</v>
      </c>
      <c r="J94" s="8">
        <f t="shared" si="27"/>
        <v>2.8744839066895806E-2</v>
      </c>
      <c r="K94" s="8">
        <f t="shared" si="28"/>
        <v>0.97125516093310416</v>
      </c>
      <c r="L94" s="10">
        <f t="shared" si="32"/>
        <v>-2.916606361235978E-2</v>
      </c>
      <c r="M94" s="44">
        <f t="shared" si="33"/>
        <v>94</v>
      </c>
      <c r="N94" s="1">
        <f t="shared" si="29"/>
        <v>63</v>
      </c>
      <c r="O94" s="1" t="str">
        <f t="shared" si="30"/>
        <v/>
      </c>
      <c r="P94" s="5"/>
      <c r="Q94" s="5"/>
      <c r="R94" s="5"/>
      <c r="S94" s="5"/>
      <c r="AS94" s="1"/>
      <c r="AT94" s="1"/>
    </row>
    <row r="95" spans="1:53" x14ac:dyDescent="0.2">
      <c r="M95" s="44"/>
      <c r="AS95" s="1"/>
      <c r="AT95" s="1"/>
    </row>
    <row r="96" spans="1:53" x14ac:dyDescent="0.2">
      <c r="M96" s="44"/>
      <c r="AS96" s="1"/>
      <c r="AT96" s="1"/>
    </row>
    <row r="97" spans="13:46" x14ac:dyDescent="0.2">
      <c r="M97" s="10"/>
      <c r="AS97" s="1"/>
      <c r="AT97" s="1"/>
    </row>
    <row r="98" spans="13:46" x14ac:dyDescent="0.2">
      <c r="M98" s="10"/>
      <c r="AS98" s="1"/>
      <c r="AT98" s="1"/>
    </row>
    <row r="99" spans="13:46" x14ac:dyDescent="0.2">
      <c r="M99" s="10"/>
      <c r="AS99" s="1"/>
      <c r="AT99" s="1"/>
    </row>
    <row r="100" spans="13:46" x14ac:dyDescent="0.2">
      <c r="M100" s="10"/>
      <c r="AS100" s="1"/>
      <c r="AT100" s="1"/>
    </row>
    <row r="101" spans="13:46" x14ac:dyDescent="0.2">
      <c r="M101" s="10"/>
      <c r="AS101" s="1"/>
      <c r="AT101" s="1"/>
    </row>
    <row r="102" spans="13:46" x14ac:dyDescent="0.2">
      <c r="M102" s="10"/>
      <c r="AS102" s="1"/>
      <c r="AT102" s="1"/>
    </row>
    <row r="103" spans="13:46" x14ac:dyDescent="0.2">
      <c r="M103" s="10"/>
      <c r="AS103" s="1"/>
      <c r="AT103" s="1"/>
    </row>
    <row r="104" spans="13:46" x14ac:dyDescent="0.2">
      <c r="M104" s="10"/>
      <c r="AS104" s="1"/>
      <c r="AT104" s="1"/>
    </row>
    <row r="105" spans="13:46" x14ac:dyDescent="0.2">
      <c r="M105" s="10"/>
      <c r="AS105" s="1"/>
      <c r="AT105" s="1"/>
    </row>
    <row r="106" spans="13:46" x14ac:dyDescent="0.2">
      <c r="AS106" s="1"/>
      <c r="AT106" s="1"/>
    </row>
    <row r="107" spans="13:46" x14ac:dyDescent="0.2">
      <c r="AS107" s="1"/>
      <c r="AT107" s="1"/>
    </row>
    <row r="108" spans="13:46" x14ac:dyDescent="0.2">
      <c r="AS108" s="1"/>
      <c r="AT108" s="1"/>
    </row>
    <row r="109" spans="13:46" x14ac:dyDescent="0.2">
      <c r="AS109" s="1"/>
      <c r="AT109" s="1"/>
    </row>
    <row r="110" spans="13:46" x14ac:dyDescent="0.2">
      <c r="AS110" s="1"/>
      <c r="AT110" s="1"/>
    </row>
    <row r="111" spans="13:46" x14ac:dyDescent="0.2">
      <c r="AS111" s="1"/>
      <c r="AT111" s="1"/>
    </row>
    <row r="112" spans="13:46" x14ac:dyDescent="0.2">
      <c r="AS112" s="1"/>
      <c r="AT112" s="1"/>
    </row>
  </sheetData>
  <sortState ref="AS2:AT93">
    <sortCondition ref="AS1"/>
  </sortState>
  <pageMargins left="0.75" right="0.75" top="1" bottom="1" header="0.5" footer="0.5"/>
  <pageSetup orientation="portrait" horizontalDpi="1200" verticalDpi="1200" r:id="rId1"/>
  <headerFooter alignWithMargins="0">
    <oddHeader>&amp;L10/27/2014&amp;CMLE and OLS-Based Logistic Models&amp;RV0B</oddHeader>
    <oddFooter xml:space="preserve">&amp;L2014-Schield-Logistic-MLE-OLS-Excel2013-V0B.xlsx&amp;R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2"/>
  <sheetViews>
    <sheetView zoomScaleNormal="100" workbookViewId="0"/>
  </sheetViews>
  <sheetFormatPr defaultRowHeight="12.75" x14ac:dyDescent="0.2"/>
  <cols>
    <col min="1" max="1" width="6.85546875" style="1" customWidth="1"/>
    <col min="2" max="2" width="4.5703125" style="1" customWidth="1"/>
    <col min="3" max="3" width="2.85546875" customWidth="1"/>
    <col min="4" max="4" width="9.7109375" style="1" customWidth="1"/>
    <col min="5" max="5" width="9.85546875" style="1" customWidth="1"/>
    <col min="6" max="6" width="9.140625" style="1" customWidth="1"/>
    <col min="7" max="7" width="12.28515625" style="1" customWidth="1"/>
    <col min="8" max="8" width="6" style="1" customWidth="1"/>
    <col min="9" max="9" width="6.42578125" style="36" customWidth="1"/>
    <col min="10" max="10" width="7" style="1" customWidth="1"/>
    <col min="11" max="11" width="5.28515625" style="1" customWidth="1"/>
    <col min="12" max="12" width="7.85546875" style="8" customWidth="1"/>
    <col min="13" max="13" width="3.140625" style="8" customWidth="1"/>
    <col min="14" max="14" width="5.85546875" style="1" customWidth="1"/>
    <col min="15" max="15" width="5.7109375" style="1" customWidth="1"/>
    <col min="16" max="16" width="2.42578125" style="1" customWidth="1"/>
    <col min="17" max="17" width="6.7109375" style="1" customWidth="1"/>
    <col min="18" max="18" width="6" style="1" customWidth="1"/>
    <col min="19" max="19" width="7.7109375" style="1" customWidth="1"/>
    <col min="20" max="25" width="9.140625" customWidth="1"/>
    <col min="27" max="27" width="11.140625" customWidth="1"/>
    <col min="28" max="28" width="6.85546875" customWidth="1"/>
    <col min="29" max="29" width="10.85546875" customWidth="1"/>
    <col min="30" max="30" width="9.7109375" customWidth="1"/>
    <col min="31" max="31" width="12.5703125" customWidth="1"/>
    <col min="32" max="33" width="9.140625" customWidth="1"/>
    <col min="35" max="35" width="11.42578125" bestFit="1" customWidth="1"/>
    <col min="43" max="43" width="5.42578125" customWidth="1"/>
    <col min="52" max="52" width="9.140625" style="41"/>
  </cols>
  <sheetData>
    <row r="1" spans="1:53" ht="13.5" thickBot="1" x14ac:dyDescent="0.25">
      <c r="A1" s="5" t="s">
        <v>105</v>
      </c>
      <c r="B1" s="5" t="s">
        <v>33</v>
      </c>
      <c r="C1" s="6" t="s">
        <v>106</v>
      </c>
      <c r="D1" s="5" t="s">
        <v>75</v>
      </c>
      <c r="E1" s="5" t="s">
        <v>76</v>
      </c>
      <c r="F1" s="5" t="s">
        <v>77</v>
      </c>
      <c r="G1" s="5" t="s">
        <v>78</v>
      </c>
      <c r="H1" s="5" t="s">
        <v>107</v>
      </c>
      <c r="I1" s="37" t="s">
        <v>108</v>
      </c>
      <c r="J1" s="5" t="s">
        <v>109</v>
      </c>
      <c r="K1" s="5" t="s">
        <v>110</v>
      </c>
      <c r="L1" s="10" t="s">
        <v>121</v>
      </c>
      <c r="M1" s="10" t="s">
        <v>129</v>
      </c>
      <c r="N1" s="5" t="s">
        <v>111</v>
      </c>
      <c r="O1" s="5" t="s">
        <v>112</v>
      </c>
      <c r="P1" s="72" t="s">
        <v>113</v>
      </c>
      <c r="Q1" s="5" t="s">
        <v>114</v>
      </c>
      <c r="R1" s="5" t="s">
        <v>115</v>
      </c>
      <c r="S1" s="5" t="s">
        <v>116</v>
      </c>
      <c r="T1" s="5" t="s">
        <v>117</v>
      </c>
      <c r="U1" s="5" t="s">
        <v>118</v>
      </c>
      <c r="V1" s="5" t="s">
        <v>119</v>
      </c>
      <c r="W1" s="5" t="s">
        <v>120</v>
      </c>
      <c r="X1" s="5" t="s">
        <v>31</v>
      </c>
      <c r="Y1" s="5" t="s">
        <v>32</v>
      </c>
      <c r="AH1" s="26"/>
      <c r="AI1" s="26"/>
      <c r="AM1" s="6"/>
      <c r="AN1" s="6"/>
      <c r="AR1" s="11"/>
      <c r="AS1" s="11" t="s">
        <v>2</v>
      </c>
      <c r="AT1" s="11" t="s">
        <v>26</v>
      </c>
      <c r="AU1" s="21" t="s">
        <v>82</v>
      </c>
      <c r="AV1" s="21" t="s">
        <v>83</v>
      </c>
      <c r="AW1" s="11" t="s">
        <v>85</v>
      </c>
      <c r="AY1" s="11" t="s">
        <v>17</v>
      </c>
      <c r="AZ1" s="35" t="s">
        <v>18</v>
      </c>
      <c r="BA1" s="11" t="s">
        <v>19</v>
      </c>
    </row>
    <row r="2" spans="1:53" ht="14.25" thickTop="1" thickBot="1" x14ac:dyDescent="0.25">
      <c r="A2" s="11" t="s">
        <v>2</v>
      </c>
      <c r="B2" s="11" t="s">
        <v>26</v>
      </c>
      <c r="D2" s="12" t="s">
        <v>15</v>
      </c>
      <c r="E2" s="12" t="s">
        <v>16</v>
      </c>
      <c r="G2" s="26"/>
      <c r="H2" s="11" t="s">
        <v>17</v>
      </c>
      <c r="I2" s="35" t="s">
        <v>18</v>
      </c>
      <c r="J2" s="11" t="s">
        <v>40</v>
      </c>
      <c r="K2" s="11" t="s">
        <v>41</v>
      </c>
      <c r="L2" s="9" t="s">
        <v>42</v>
      </c>
      <c r="M2" s="44">
        <v>2</v>
      </c>
      <c r="N2" s="5" t="s">
        <v>94</v>
      </c>
      <c r="O2" s="5" t="s">
        <v>93</v>
      </c>
      <c r="P2" s="73"/>
      <c r="Q2" s="42" t="s">
        <v>131</v>
      </c>
      <c r="S2" s="5" t="s">
        <v>122</v>
      </c>
      <c r="T2" s="14" t="s">
        <v>99</v>
      </c>
      <c r="U2" s="1"/>
      <c r="AH2" s="27"/>
      <c r="AI2" s="27"/>
      <c r="AK2" s="4"/>
      <c r="AL2" s="6"/>
      <c r="AR2" s="11"/>
      <c r="AS2" s="1">
        <v>95</v>
      </c>
      <c r="AT2" s="1">
        <v>0</v>
      </c>
      <c r="AU2" s="27">
        <f>SUM(AT$2:AT2)/COUNTA(AS$2:AS2)</f>
        <v>0</v>
      </c>
      <c r="AV2" s="27">
        <f>AU2/AU$93</f>
        <v>0</v>
      </c>
      <c r="AW2" s="27">
        <v>0</v>
      </c>
      <c r="AY2" s="13">
        <f t="shared" ref="AY2:AY33" si="0">D$3+E$3*AS2</f>
        <v>-6.5001769243371914</v>
      </c>
      <c r="AZ2" s="36">
        <f t="shared" ref="AZ2:AZ65" si="1">EXP(AY2)</f>
        <v>1.5031732215239526E-3</v>
      </c>
      <c r="BA2" s="23">
        <f t="shared" ref="BA2:BA65" si="2">AZ2/(1+AZ2)</f>
        <v>1.5009170831568233E-3</v>
      </c>
    </row>
    <row r="3" spans="1:53" ht="14.25" thickTop="1" thickBot="1" x14ac:dyDescent="0.25">
      <c r="A3" s="1">
        <v>150</v>
      </c>
      <c r="B3" s="1">
        <v>1</v>
      </c>
      <c r="D3" s="16">
        <v>-21.48182862260866</v>
      </c>
      <c r="E3" s="30">
        <v>0.15770159682391019</v>
      </c>
      <c r="F3" s="55">
        <v>1</v>
      </c>
      <c r="G3" s="54" t="s">
        <v>86</v>
      </c>
      <c r="H3" s="8">
        <f t="shared" ref="H3:H34" si="3">D$3+E$3*A3</f>
        <v>2.173410900977867</v>
      </c>
      <c r="I3" s="39">
        <f t="shared" ref="I3:I66" si="4">EXP(H3)</f>
        <v>8.7882086863287334</v>
      </c>
      <c r="J3" s="8">
        <f t="shared" ref="J3:J66" si="5">I3/(1+I3)</f>
        <v>0.89783626074536926</v>
      </c>
      <c r="K3" s="8">
        <f t="shared" ref="K3:K34" si="6">IF(B3=1,J3,1-J3)</f>
        <v>0.89783626074536926</v>
      </c>
      <c r="L3" s="10">
        <f>LN(K3)</f>
        <v>-0.10776756500551112</v>
      </c>
      <c r="M3" s="44">
        <f>M2+1</f>
        <v>3</v>
      </c>
      <c r="N3" s="1" t="str">
        <f t="shared" ref="N3:N34" si="7">IF($B3=1,"",$A3)</f>
        <v/>
      </c>
      <c r="O3" s="1">
        <f t="shared" ref="O3:O34" si="8">IF($B3=1,$A3,"")</f>
        <v>150</v>
      </c>
      <c r="P3" s="74"/>
      <c r="S3" s="5" t="s">
        <v>123</v>
      </c>
      <c r="T3" s="14" t="s">
        <v>103</v>
      </c>
      <c r="U3" s="1"/>
      <c r="AH3" s="27"/>
      <c r="AI3" s="27"/>
      <c r="AK3" s="4"/>
      <c r="AL3" s="6"/>
      <c r="AR3" s="11"/>
      <c r="AS3" s="1">
        <v>102</v>
      </c>
      <c r="AT3" s="1">
        <v>0</v>
      </c>
      <c r="AU3" s="27">
        <f>SUM(AT$2:AT3)/COUNTA(AS$2:AS3)</f>
        <v>0</v>
      </c>
      <c r="AV3" s="27">
        <f t="shared" ref="AV3:AV66" si="9">AU3/AU$93</f>
        <v>0</v>
      </c>
      <c r="AW3" s="27">
        <v>0</v>
      </c>
      <c r="AY3" s="13">
        <f t="shared" si="0"/>
        <v>-5.3962657465698207</v>
      </c>
      <c r="AZ3" s="36">
        <f t="shared" si="1"/>
        <v>4.5334785307927072E-3</v>
      </c>
      <c r="BA3" s="23">
        <f t="shared" si="2"/>
        <v>4.5130188566968096E-3</v>
      </c>
    </row>
    <row r="4" spans="1:53" ht="13.5" thickTop="1" x14ac:dyDescent="0.2">
      <c r="A4" s="1">
        <v>145</v>
      </c>
      <c r="B4" s="1">
        <v>1</v>
      </c>
      <c r="H4" s="8">
        <f t="shared" si="3"/>
        <v>1.3849029168583193</v>
      </c>
      <c r="I4" s="39">
        <f t="shared" si="4"/>
        <v>3.9944380933926062</v>
      </c>
      <c r="J4" s="8">
        <f t="shared" si="5"/>
        <v>0.79977727598166637</v>
      </c>
      <c r="K4" s="8">
        <f t="shared" si="6"/>
        <v>0.79977727598166637</v>
      </c>
      <c r="L4" s="10">
        <f t="shared" ref="L4:L67" si="10">LN(K4)</f>
        <v>-0.22342199509899968</v>
      </c>
      <c r="M4" s="44">
        <f t="shared" ref="M4:M67" si="11">M3+1</f>
        <v>4</v>
      </c>
      <c r="N4" s="1" t="str">
        <f t="shared" si="7"/>
        <v/>
      </c>
      <c r="O4" s="1">
        <f t="shared" si="8"/>
        <v>145</v>
      </c>
      <c r="P4" s="73"/>
      <c r="S4" s="5" t="s">
        <v>124</v>
      </c>
      <c r="T4" s="14" t="s">
        <v>104</v>
      </c>
      <c r="U4" s="1"/>
      <c r="AH4" s="27"/>
      <c r="AI4" s="27"/>
      <c r="AR4" s="11"/>
      <c r="AS4" s="1">
        <v>108</v>
      </c>
      <c r="AT4" s="1">
        <v>0</v>
      </c>
      <c r="AU4" s="27">
        <f>SUM(AT$2:AT4)/COUNTA(AS$2:AS4)</f>
        <v>0</v>
      </c>
      <c r="AV4" s="27">
        <f t="shared" si="9"/>
        <v>0</v>
      </c>
      <c r="AW4" s="27">
        <v>0</v>
      </c>
      <c r="AY4" s="13">
        <f t="shared" si="0"/>
        <v>-4.4500561656263606</v>
      </c>
      <c r="AZ4" s="36">
        <f t="shared" si="1"/>
        <v>1.1677911054786686E-2</v>
      </c>
      <c r="BA4" s="23">
        <f t="shared" si="2"/>
        <v>1.1543111623946762E-2</v>
      </c>
    </row>
    <row r="5" spans="1:53" ht="13.5" thickBot="1" x14ac:dyDescent="0.25">
      <c r="A5" s="1">
        <v>160</v>
      </c>
      <c r="B5" s="1">
        <v>1</v>
      </c>
      <c r="D5" s="54" t="s">
        <v>22</v>
      </c>
      <c r="E5" s="17">
        <f>SUM(L3:L94)</f>
        <v>-26.126200013739282</v>
      </c>
      <c r="F5" s="20" t="str">
        <f ca="1">_xlfn.FORMULATEXT(E5)</f>
        <v>=SUM(L3:L94)</v>
      </c>
      <c r="G5" s="18"/>
      <c r="H5" s="8">
        <f t="shared" si="3"/>
        <v>3.7504268692169695</v>
      </c>
      <c r="I5" s="39">
        <f t="shared" si="4"/>
        <v>42.539236815631121</v>
      </c>
      <c r="J5" s="8">
        <f t="shared" si="5"/>
        <v>0.97703221110111449</v>
      </c>
      <c r="K5" s="8">
        <f t="shared" si="6"/>
        <v>0.97703221110111449</v>
      </c>
      <c r="L5" s="10">
        <f t="shared" si="10"/>
        <v>-2.3235658085581676E-2</v>
      </c>
      <c r="M5" s="44">
        <f t="shared" si="11"/>
        <v>5</v>
      </c>
      <c r="N5" s="1" t="str">
        <f t="shared" si="7"/>
        <v/>
      </c>
      <c r="O5" s="1">
        <f t="shared" si="8"/>
        <v>160</v>
      </c>
      <c r="P5" s="73"/>
      <c r="S5" s="5" t="s">
        <v>125</v>
      </c>
      <c r="T5" s="14" t="s">
        <v>100</v>
      </c>
      <c r="U5" s="1"/>
      <c r="AH5" s="27"/>
      <c r="AI5" s="27"/>
      <c r="AR5" s="1"/>
      <c r="AS5" s="1">
        <v>108</v>
      </c>
      <c r="AT5" s="1">
        <v>0</v>
      </c>
      <c r="AU5" s="27">
        <f>SUM(AT$2:AT5)/COUNTA(AS$2:AS5)</f>
        <v>0</v>
      </c>
      <c r="AV5" s="27">
        <f t="shared" si="9"/>
        <v>0</v>
      </c>
      <c r="AW5" s="27">
        <v>0</v>
      </c>
      <c r="AY5" s="13">
        <f t="shared" si="0"/>
        <v>-4.4500561656263606</v>
      </c>
      <c r="AZ5" s="36">
        <f t="shared" si="1"/>
        <v>1.1677911054786686E-2</v>
      </c>
      <c r="BA5" s="23">
        <f t="shared" si="2"/>
        <v>1.1543111623946762E-2</v>
      </c>
    </row>
    <row r="6" spans="1:53" x14ac:dyDescent="0.2">
      <c r="A6" s="1">
        <v>145</v>
      </c>
      <c r="B6" s="1">
        <v>1</v>
      </c>
      <c r="D6" s="5" t="s">
        <v>21</v>
      </c>
      <c r="E6" s="58">
        <v>-63.820075251676471</v>
      </c>
      <c r="F6" s="13" t="s">
        <v>30</v>
      </c>
      <c r="H6" s="8">
        <f t="shared" si="3"/>
        <v>1.3849029168583193</v>
      </c>
      <c r="I6" s="39">
        <f t="shared" si="4"/>
        <v>3.9944380933926062</v>
      </c>
      <c r="J6" s="8">
        <f t="shared" si="5"/>
        <v>0.79977727598166637</v>
      </c>
      <c r="K6" s="8">
        <f t="shared" si="6"/>
        <v>0.79977727598166637</v>
      </c>
      <c r="L6" s="10">
        <f t="shared" si="10"/>
        <v>-0.22342199509899968</v>
      </c>
      <c r="M6" s="44">
        <f t="shared" si="11"/>
        <v>6</v>
      </c>
      <c r="N6" s="1" t="str">
        <f t="shared" si="7"/>
        <v/>
      </c>
      <c r="O6" s="1">
        <f t="shared" si="8"/>
        <v>145</v>
      </c>
      <c r="P6" s="73"/>
      <c r="S6" s="5" t="s">
        <v>126</v>
      </c>
      <c r="T6" s="14" t="s">
        <v>132</v>
      </c>
      <c r="U6" s="1"/>
      <c r="AH6" s="27"/>
      <c r="AI6" s="27"/>
      <c r="AR6" s="1"/>
      <c r="AS6" s="1">
        <v>110</v>
      </c>
      <c r="AT6" s="1">
        <v>0</v>
      </c>
      <c r="AU6" s="27">
        <f>SUM(AT$2:AT6)/COUNTA(AS$2:AS6)</f>
        <v>0</v>
      </c>
      <c r="AV6" s="27">
        <f t="shared" si="9"/>
        <v>0</v>
      </c>
      <c r="AW6" s="27">
        <v>0</v>
      </c>
      <c r="AY6" s="13">
        <f t="shared" si="0"/>
        <v>-4.1346529719785394</v>
      </c>
      <c r="AZ6" s="36">
        <f t="shared" si="1"/>
        <v>1.6008219466736834E-2</v>
      </c>
      <c r="BA6" s="23">
        <f t="shared" si="2"/>
        <v>1.5755994055972229E-2</v>
      </c>
    </row>
    <row r="7" spans="1:53" x14ac:dyDescent="0.2">
      <c r="A7" s="1">
        <v>135</v>
      </c>
      <c r="B7" s="1">
        <v>1</v>
      </c>
      <c r="D7" s="5" t="s">
        <v>15</v>
      </c>
      <c r="E7" s="59">
        <v>-61.113444669812772</v>
      </c>
      <c r="F7" s="8">
        <f>-2*E7</f>
        <v>122.22688933962554</v>
      </c>
      <c r="G7" s="8"/>
      <c r="H7" s="8">
        <f t="shared" si="3"/>
        <v>-0.19211305138078316</v>
      </c>
      <c r="I7" s="39">
        <f t="shared" si="4"/>
        <v>0.82521357168439535</v>
      </c>
      <c r="J7" s="8">
        <f t="shared" si="5"/>
        <v>0.45211891062307208</v>
      </c>
      <c r="K7" s="8">
        <f t="shared" si="6"/>
        <v>0.45211891062307208</v>
      </c>
      <c r="L7" s="10">
        <f t="shared" si="10"/>
        <v>-0.79381005714876962</v>
      </c>
      <c r="M7" s="44">
        <f t="shared" si="11"/>
        <v>7</v>
      </c>
      <c r="N7" s="1" t="str">
        <f t="shared" si="7"/>
        <v/>
      </c>
      <c r="O7" s="1">
        <f t="shared" si="8"/>
        <v>135</v>
      </c>
      <c r="P7" s="73"/>
      <c r="S7" s="5" t="s">
        <v>127</v>
      </c>
      <c r="T7" s="14" t="s">
        <v>102</v>
      </c>
      <c r="U7" s="1"/>
      <c r="Z7" s="8"/>
      <c r="AA7" s="8"/>
      <c r="AH7" s="27"/>
      <c r="AI7" s="27"/>
      <c r="AR7" s="1"/>
      <c r="AS7" s="1">
        <v>110</v>
      </c>
      <c r="AT7" s="1">
        <v>0</v>
      </c>
      <c r="AU7" s="27">
        <f>SUM(AT$2:AT7)/COUNTA(AS$2:AS7)</f>
        <v>0</v>
      </c>
      <c r="AV7" s="27">
        <f t="shared" si="9"/>
        <v>0</v>
      </c>
      <c r="AW7" s="27">
        <v>0</v>
      </c>
      <c r="AY7" s="13">
        <f t="shared" si="0"/>
        <v>-4.1346529719785394</v>
      </c>
      <c r="AZ7" s="36">
        <f t="shared" si="1"/>
        <v>1.6008219466736834E-2</v>
      </c>
      <c r="BA7" s="23">
        <f t="shared" si="2"/>
        <v>1.5755994055972229E-2</v>
      </c>
    </row>
    <row r="8" spans="1:53" ht="13.5" thickBot="1" x14ac:dyDescent="0.25">
      <c r="A8" s="1">
        <v>125</v>
      </c>
      <c r="B8" s="5">
        <v>0</v>
      </c>
      <c r="D8" s="5" t="s">
        <v>20</v>
      </c>
      <c r="E8" s="60">
        <v>-30.549061525157377</v>
      </c>
      <c r="F8" s="8">
        <f>-2*E8</f>
        <v>61.098123050314754</v>
      </c>
      <c r="H8" s="8">
        <f t="shared" si="3"/>
        <v>-1.7691290196198857</v>
      </c>
      <c r="I8" s="39">
        <f t="shared" si="4"/>
        <v>0.17048141014340779</v>
      </c>
      <c r="J8" s="8">
        <f t="shared" si="5"/>
        <v>0.14565067729056913</v>
      </c>
      <c r="K8" s="8">
        <f t="shared" si="6"/>
        <v>0.85434932270943087</v>
      </c>
      <c r="L8" s="10">
        <f t="shared" si="10"/>
        <v>-0.15741512584356088</v>
      </c>
      <c r="M8" s="44">
        <f t="shared" si="11"/>
        <v>8</v>
      </c>
      <c r="N8" s="1">
        <f t="shared" si="7"/>
        <v>125</v>
      </c>
      <c r="O8" s="1" t="str">
        <f t="shared" si="8"/>
        <v/>
      </c>
      <c r="P8" s="73"/>
      <c r="S8" s="5" t="s">
        <v>128</v>
      </c>
      <c r="T8" s="14" t="s">
        <v>101</v>
      </c>
      <c r="U8" s="1"/>
      <c r="Z8" s="8"/>
      <c r="AA8" s="9"/>
      <c r="AF8" s="25"/>
      <c r="AG8" s="6"/>
      <c r="AH8" s="27"/>
      <c r="AI8" s="27"/>
      <c r="AK8" s="6"/>
      <c r="AR8" s="1"/>
      <c r="AS8" s="1">
        <v>112</v>
      </c>
      <c r="AT8" s="1">
        <v>0</v>
      </c>
      <c r="AU8" s="27">
        <f>SUM(AT$2:AT8)/COUNTA(AS$2:AS8)</f>
        <v>0</v>
      </c>
      <c r="AV8" s="27">
        <f t="shared" si="9"/>
        <v>0</v>
      </c>
      <c r="AW8" s="27">
        <v>0</v>
      </c>
      <c r="AY8" s="13">
        <f t="shared" si="0"/>
        <v>-3.8192497783307182</v>
      </c>
      <c r="AZ8" s="36">
        <f t="shared" si="1"/>
        <v>2.1944257778035724E-2</v>
      </c>
      <c r="BA8" s="23">
        <f t="shared" si="2"/>
        <v>2.1473047684369858E-2</v>
      </c>
    </row>
    <row r="9" spans="1:53" x14ac:dyDescent="0.2">
      <c r="A9" s="1">
        <v>170</v>
      </c>
      <c r="B9" s="1">
        <v>1</v>
      </c>
      <c r="D9" s="5" t="s">
        <v>29</v>
      </c>
      <c r="E9" s="24" t="str">
        <f t="shared" ref="E9" ca="1" si="12">_xlfn.FORMULATEXT(F9)</f>
        <v>=F7-F8</v>
      </c>
      <c r="F9" s="8">
        <f>F7-F8</f>
        <v>61.128766289310789</v>
      </c>
      <c r="H9" s="8">
        <f t="shared" si="3"/>
        <v>5.3274428374560721</v>
      </c>
      <c r="I9" s="39">
        <f t="shared" si="4"/>
        <v>205.91075308343636</v>
      </c>
      <c r="J9" s="8">
        <f t="shared" si="5"/>
        <v>0.99516699840342882</v>
      </c>
      <c r="K9" s="8">
        <f t="shared" si="6"/>
        <v>0.99516699840342882</v>
      </c>
      <c r="L9" s="10">
        <f t="shared" si="10"/>
        <v>-4.8447183153113131E-3</v>
      </c>
      <c r="M9" s="44">
        <f t="shared" si="11"/>
        <v>9</v>
      </c>
      <c r="N9" s="1" t="str">
        <f t="shared" si="7"/>
        <v/>
      </c>
      <c r="O9" s="1">
        <f t="shared" si="8"/>
        <v>170</v>
      </c>
      <c r="P9" s="74"/>
      <c r="T9" s="77" t="s">
        <v>134</v>
      </c>
      <c r="U9" s="78"/>
      <c r="V9" s="78"/>
      <c r="W9" s="77" t="s">
        <v>133</v>
      </c>
      <c r="X9" s="78"/>
      <c r="Z9" s="8"/>
      <c r="AG9" s="7"/>
      <c r="AH9" s="27"/>
      <c r="AI9" s="27"/>
      <c r="AK9" s="6"/>
      <c r="AR9" s="1"/>
      <c r="AS9" s="1">
        <v>115</v>
      </c>
      <c r="AT9" s="1">
        <v>0</v>
      </c>
      <c r="AU9" s="27">
        <f>SUM(AT$2:AT9)/COUNTA(AS$2:AS9)</f>
        <v>0</v>
      </c>
      <c r="AV9" s="27">
        <f t="shared" si="9"/>
        <v>0</v>
      </c>
      <c r="AW9" s="27">
        <v>0</v>
      </c>
      <c r="AY9" s="13">
        <f t="shared" si="0"/>
        <v>-3.3461449878589882</v>
      </c>
      <c r="AZ9" s="36">
        <f t="shared" si="1"/>
        <v>3.5219865743556115E-2</v>
      </c>
      <c r="BA9" s="23">
        <f t="shared" si="2"/>
        <v>3.4021628553523871E-2</v>
      </c>
    </row>
    <row r="10" spans="1:53" ht="13.5" thickBot="1" x14ac:dyDescent="0.25">
      <c r="A10" s="1">
        <v>155</v>
      </c>
      <c r="B10" s="1">
        <v>1</v>
      </c>
      <c r="E10" s="24" t="str">
        <f ca="1">_xlfn.FORMULATEXT(F10)</f>
        <v>=CHISQ.DIST.RT(F9,F3)</v>
      </c>
      <c r="F10" s="5">
        <f>_xlfn.CHISQ.DIST.RT(F9,F3)</f>
        <v>5.3461263770045735E-15</v>
      </c>
      <c r="H10" s="8">
        <f t="shared" si="3"/>
        <v>2.9619188850974183</v>
      </c>
      <c r="I10" s="39">
        <f t="shared" si="4"/>
        <v>19.335037897374924</v>
      </c>
      <c r="J10" s="8">
        <f t="shared" si="5"/>
        <v>0.95082379462252731</v>
      </c>
      <c r="K10" s="8">
        <f t="shared" si="6"/>
        <v>0.95082379462252731</v>
      </c>
      <c r="L10" s="10">
        <f t="shared" si="10"/>
        <v>-5.0426517912598619E-2</v>
      </c>
      <c r="M10" s="44">
        <f t="shared" si="11"/>
        <v>10</v>
      </c>
      <c r="N10" s="1" t="str">
        <f t="shared" si="7"/>
        <v/>
      </c>
      <c r="O10" s="1">
        <f t="shared" si="8"/>
        <v>155</v>
      </c>
      <c r="P10" s="73"/>
      <c r="Q10" s="11" t="s">
        <v>53</v>
      </c>
      <c r="R10" s="11" t="s">
        <v>17</v>
      </c>
      <c r="S10" s="11" t="s">
        <v>18</v>
      </c>
      <c r="T10" s="11" t="s">
        <v>19</v>
      </c>
      <c r="U10" s="5" t="s">
        <v>60</v>
      </c>
      <c r="V10" s="5" t="s">
        <v>63</v>
      </c>
      <c r="W10" s="5" t="s">
        <v>39</v>
      </c>
      <c r="X10" s="14" t="s">
        <v>84</v>
      </c>
      <c r="Z10" s="8"/>
      <c r="AH10" s="27"/>
      <c r="AI10" s="27"/>
      <c r="AR10" s="1"/>
      <c r="AS10" s="1">
        <v>115</v>
      </c>
      <c r="AT10" s="1">
        <v>0</v>
      </c>
      <c r="AU10" s="27">
        <f>SUM(AT$2:AT10)/COUNTA(AS$2:AS10)</f>
        <v>0</v>
      </c>
      <c r="AV10" s="27">
        <f t="shared" si="9"/>
        <v>0</v>
      </c>
      <c r="AW10" s="27">
        <v>0</v>
      </c>
      <c r="AY10" s="13">
        <f t="shared" si="0"/>
        <v>-3.3461449878589882</v>
      </c>
      <c r="AZ10" s="36">
        <f t="shared" si="1"/>
        <v>3.5219865743556115E-2</v>
      </c>
      <c r="BA10" s="23">
        <f t="shared" si="2"/>
        <v>3.4021628553523871E-2</v>
      </c>
    </row>
    <row r="11" spans="1:53" ht="13.5" thickBot="1" x14ac:dyDescent="0.25">
      <c r="A11" s="1">
        <v>164</v>
      </c>
      <c r="B11" s="1">
        <v>1</v>
      </c>
      <c r="H11" s="8">
        <f t="shared" si="3"/>
        <v>4.381233256512612</v>
      </c>
      <c r="I11" s="39">
        <f t="shared" si="4"/>
        <v>79.936554918397476</v>
      </c>
      <c r="J11" s="8">
        <f t="shared" si="5"/>
        <v>0.98764464337519398</v>
      </c>
      <c r="K11" s="8">
        <f t="shared" si="6"/>
        <v>0.98764464337519398</v>
      </c>
      <c r="L11" s="10">
        <f t="shared" si="10"/>
        <v>-1.2432318629179677E-2</v>
      </c>
      <c r="M11" s="44">
        <f t="shared" si="11"/>
        <v>11</v>
      </c>
      <c r="N11" s="1" t="str">
        <f t="shared" si="7"/>
        <v/>
      </c>
      <c r="O11" s="1">
        <f t="shared" si="8"/>
        <v>164</v>
      </c>
      <c r="P11" s="73"/>
      <c r="Q11" s="71">
        <v>94</v>
      </c>
      <c r="R11" s="13">
        <f t="shared" ref="R11:R51" si="13">D$3+E$3*Q11</f>
        <v>-6.657878521161102</v>
      </c>
      <c r="S11" s="8">
        <f t="shared" ref="S11:S20" si="14">EXP(R11)</f>
        <v>1.2838671803484384E-3</v>
      </c>
      <c r="T11" s="23">
        <f t="shared" ref="T11:T20" si="15">S11/(1+S11)</f>
        <v>1.2822209789156544E-3</v>
      </c>
      <c r="U11" s="8">
        <f t="shared" ref="U11:U51" si="16">E$50+D$30*(Q11-E$61)</f>
        <v>-0.12584175548036514</v>
      </c>
      <c r="V11" s="8">
        <f t="shared" ref="V11:V51" si="17">E$50+D$42*(Q11-E$61)</f>
        <v>-0.86469150885766577</v>
      </c>
      <c r="W11" s="8">
        <f t="shared" ref="W11:W51" si="18">1/(1+EXP((4*D$42)*(D$32-Q11)))</f>
        <v>6.7952543959404381E-3</v>
      </c>
      <c r="X11" s="8" t="e">
        <f t="shared" ref="X11:X51" si="19">VLOOKUP(Q11,AS$2:AV$93,4)</f>
        <v>#N/A</v>
      </c>
      <c r="Z11" s="8"/>
      <c r="AH11" s="27"/>
      <c r="AI11" s="27"/>
      <c r="AR11" s="1"/>
      <c r="AS11" s="1">
        <v>116</v>
      </c>
      <c r="AT11" s="1">
        <v>0</v>
      </c>
      <c r="AU11" s="27">
        <f>SUM(AT$2:AT11)/COUNTA(AS$2:AS11)</f>
        <v>0</v>
      </c>
      <c r="AV11" s="27">
        <f t="shared" si="9"/>
        <v>0</v>
      </c>
      <c r="AW11" s="27">
        <v>0</v>
      </c>
      <c r="AY11" s="13">
        <f t="shared" si="0"/>
        <v>-3.1884433910350793</v>
      </c>
      <c r="AZ11" s="36">
        <f t="shared" si="1"/>
        <v>4.1236009348735003E-2</v>
      </c>
      <c r="BA11" s="23">
        <f t="shared" si="2"/>
        <v>3.9602942059722861E-2</v>
      </c>
    </row>
    <row r="12" spans="1:53" x14ac:dyDescent="0.2">
      <c r="A12" s="1">
        <v>120</v>
      </c>
      <c r="B12" s="5">
        <v>0</v>
      </c>
      <c r="E12" s="21" t="s">
        <v>23</v>
      </c>
      <c r="H12" s="8">
        <f t="shared" si="3"/>
        <v>-2.5576370037394369</v>
      </c>
      <c r="I12" s="39">
        <f t="shared" si="4"/>
        <v>7.7487627251213137E-2</v>
      </c>
      <c r="J12" s="8">
        <f t="shared" si="5"/>
        <v>7.1915097019621857E-2</v>
      </c>
      <c r="K12" s="8">
        <f t="shared" si="6"/>
        <v>0.92808490298037816</v>
      </c>
      <c r="L12" s="10">
        <f t="shared" si="10"/>
        <v>-7.463206010033703E-2</v>
      </c>
      <c r="M12" s="44">
        <f t="shared" si="11"/>
        <v>12</v>
      </c>
      <c r="N12" s="1">
        <f t="shared" si="7"/>
        <v>120</v>
      </c>
      <c r="O12" s="1" t="str">
        <f t="shared" si="8"/>
        <v/>
      </c>
      <c r="P12" s="73"/>
      <c r="Q12" s="39">
        <f t="shared" ref="Q12:Q51" si="20">Q11+D$70</f>
        <v>96</v>
      </c>
      <c r="R12" s="13">
        <f t="shared" si="13"/>
        <v>-6.3424753275132808</v>
      </c>
      <c r="S12" s="8">
        <f t="shared" si="14"/>
        <v>1.7599404116658448E-3</v>
      </c>
      <c r="T12" s="23">
        <f t="shared" si="15"/>
        <v>1.756848463058535E-3</v>
      </c>
      <c r="U12" s="8">
        <f t="shared" si="16"/>
        <v>-9.6697071458183403E-2</v>
      </c>
      <c r="V12" s="8">
        <f t="shared" si="17"/>
        <v>-0.80665852168601038</v>
      </c>
      <c r="W12" s="8">
        <f t="shared" si="18"/>
        <v>8.5555697432767083E-3</v>
      </c>
      <c r="X12" s="8">
        <f t="shared" si="19"/>
        <v>0</v>
      </c>
      <c r="Z12" s="8"/>
      <c r="AH12" s="27"/>
      <c r="AI12" s="27"/>
      <c r="AR12" s="1"/>
      <c r="AS12" s="1">
        <v>116</v>
      </c>
      <c r="AT12" s="1">
        <v>0</v>
      </c>
      <c r="AU12" s="27">
        <f>SUM(AT$2:AT12)/COUNTA(AS$2:AS12)</f>
        <v>0</v>
      </c>
      <c r="AV12" s="27">
        <f t="shared" si="9"/>
        <v>0</v>
      </c>
      <c r="AW12" s="27">
        <v>0</v>
      </c>
      <c r="AY12" s="13">
        <f t="shared" si="0"/>
        <v>-3.1884433910350793</v>
      </c>
      <c r="AZ12" s="36">
        <f t="shared" si="1"/>
        <v>4.1236009348735003E-2</v>
      </c>
      <c r="BA12" s="23">
        <f t="shared" si="2"/>
        <v>3.9602942059722861E-2</v>
      </c>
    </row>
    <row r="13" spans="1:53" x14ac:dyDescent="0.2">
      <c r="A13" s="1">
        <v>120</v>
      </c>
      <c r="B13" s="5">
        <v>0</v>
      </c>
      <c r="D13" s="8" t="str">
        <f>+H2</f>
        <v>Logit</v>
      </c>
      <c r="E13" s="10" t="str">
        <f>CHAR(COLUMN(H3)+64)&amp;ROW(H3)</f>
        <v>H3</v>
      </c>
      <c r="F13" t="str">
        <f ca="1">_xlfn.FORMULATEXT(H3)</f>
        <v>=D$3+E$3*A3</v>
      </c>
      <c r="H13" s="8">
        <f t="shared" si="3"/>
        <v>-2.5576370037394369</v>
      </c>
      <c r="I13" s="39">
        <f t="shared" si="4"/>
        <v>7.7487627251213137E-2</v>
      </c>
      <c r="J13" s="8">
        <f t="shared" si="5"/>
        <v>7.1915097019621857E-2</v>
      </c>
      <c r="K13" s="8">
        <f t="shared" si="6"/>
        <v>0.92808490298037816</v>
      </c>
      <c r="L13" s="10">
        <f t="shared" si="10"/>
        <v>-7.463206010033703E-2</v>
      </c>
      <c r="M13" s="44">
        <f t="shared" si="11"/>
        <v>13</v>
      </c>
      <c r="N13" s="1">
        <f t="shared" si="7"/>
        <v>120</v>
      </c>
      <c r="O13" s="1" t="str">
        <f t="shared" si="8"/>
        <v/>
      </c>
      <c r="P13" s="74"/>
      <c r="Q13" s="39">
        <f t="shared" si="20"/>
        <v>98</v>
      </c>
      <c r="R13" s="13">
        <f t="shared" si="13"/>
        <v>-6.0270721338654614</v>
      </c>
      <c r="S13" s="8">
        <f t="shared" si="14"/>
        <v>2.412547263474648E-3</v>
      </c>
      <c r="T13" s="23">
        <f t="shared" si="15"/>
        <v>2.4067408873330201E-3</v>
      </c>
      <c r="U13" s="8">
        <f t="shared" si="16"/>
        <v>-6.7552387436001671E-2</v>
      </c>
      <c r="V13" s="8">
        <f t="shared" si="17"/>
        <v>-0.74862553451435476</v>
      </c>
      <c r="W13" s="8">
        <f t="shared" si="18"/>
        <v>1.0766952558125169E-2</v>
      </c>
      <c r="X13" s="8">
        <f t="shared" si="19"/>
        <v>0</v>
      </c>
      <c r="Z13" s="8"/>
      <c r="AH13" s="27"/>
      <c r="AI13" s="27"/>
      <c r="AJ13" s="4"/>
      <c r="AK13" s="6"/>
      <c r="AR13" s="1"/>
      <c r="AS13" s="1">
        <v>118</v>
      </c>
      <c r="AT13" s="1">
        <v>0</v>
      </c>
      <c r="AU13" s="27">
        <f>SUM(AT$2:AT13)/COUNTA(AS$2:AS13)</f>
        <v>0</v>
      </c>
      <c r="AV13" s="27">
        <f t="shared" si="9"/>
        <v>0</v>
      </c>
      <c r="AW13" s="27">
        <v>0</v>
      </c>
      <c r="AY13" s="13">
        <f t="shared" si="0"/>
        <v>-2.8730401973872581</v>
      </c>
      <c r="AZ13" s="36">
        <f t="shared" si="1"/>
        <v>5.6526812414484491E-2</v>
      </c>
      <c r="BA13" s="23">
        <f t="shared" si="2"/>
        <v>5.3502487348431382E-2</v>
      </c>
    </row>
    <row r="14" spans="1:53" x14ac:dyDescent="0.2">
      <c r="A14" s="1">
        <v>160</v>
      </c>
      <c r="B14" s="1">
        <v>1</v>
      </c>
      <c r="D14" s="8" t="str">
        <f>+I2</f>
        <v>Odds</v>
      </c>
      <c r="E14" s="37" t="str">
        <f>CHAR(COLUMN(I3)+64)&amp;ROW(I3)</f>
        <v>I3</v>
      </c>
      <c r="F14" t="str">
        <f ca="1">_xlfn.FORMULATEXT(I3)</f>
        <v>=EXP(H3)</v>
      </c>
      <c r="H14" s="8">
        <f t="shared" si="3"/>
        <v>3.7504268692169695</v>
      </c>
      <c r="I14" s="39">
        <f t="shared" si="4"/>
        <v>42.539236815631121</v>
      </c>
      <c r="J14" s="8">
        <f t="shared" si="5"/>
        <v>0.97703221110111449</v>
      </c>
      <c r="K14" s="8">
        <f t="shared" si="6"/>
        <v>0.97703221110111449</v>
      </c>
      <c r="L14" s="10">
        <f t="shared" si="10"/>
        <v>-2.3235658085581676E-2</v>
      </c>
      <c r="M14" s="44">
        <f t="shared" si="11"/>
        <v>14</v>
      </c>
      <c r="N14" s="1" t="str">
        <f t="shared" si="7"/>
        <v/>
      </c>
      <c r="O14" s="1">
        <f t="shared" si="8"/>
        <v>160</v>
      </c>
      <c r="P14" s="74"/>
      <c r="Q14" s="39">
        <f t="shared" si="20"/>
        <v>100</v>
      </c>
      <c r="R14" s="13">
        <f t="shared" si="13"/>
        <v>-5.7116689402176402</v>
      </c>
      <c r="S14" s="8">
        <f t="shared" si="14"/>
        <v>3.3071485033915595E-3</v>
      </c>
      <c r="T14" s="23">
        <f t="shared" si="15"/>
        <v>3.2962473239872268E-3</v>
      </c>
      <c r="U14" s="8">
        <f t="shared" si="16"/>
        <v>-3.8407703413819938E-2</v>
      </c>
      <c r="V14" s="8">
        <f t="shared" si="17"/>
        <v>-0.69059254734269937</v>
      </c>
      <c r="W14" s="8">
        <f t="shared" si="18"/>
        <v>1.3542110645496085E-2</v>
      </c>
      <c r="X14" s="8">
        <f t="shared" si="19"/>
        <v>0</v>
      </c>
      <c r="Z14" s="8"/>
      <c r="AH14" s="27"/>
      <c r="AI14" s="27"/>
      <c r="AK14" s="6"/>
      <c r="AR14" s="1"/>
      <c r="AS14" s="1">
        <v>118</v>
      </c>
      <c r="AT14" s="1">
        <v>0</v>
      </c>
      <c r="AU14" s="27">
        <f>SUM(AT$2:AT14)/COUNTA(AS$2:AS14)</f>
        <v>0</v>
      </c>
      <c r="AV14" s="27">
        <f t="shared" si="9"/>
        <v>0</v>
      </c>
      <c r="AW14" s="27">
        <v>0</v>
      </c>
      <c r="AY14" s="13">
        <f t="shared" si="0"/>
        <v>-2.8730401973872581</v>
      </c>
      <c r="AZ14" s="36">
        <f t="shared" si="1"/>
        <v>5.6526812414484491E-2</v>
      </c>
      <c r="BA14" s="23">
        <f t="shared" si="2"/>
        <v>5.3502487348431382E-2</v>
      </c>
    </row>
    <row r="15" spans="1:53" x14ac:dyDescent="0.2">
      <c r="A15" s="1">
        <v>195</v>
      </c>
      <c r="B15" s="1">
        <v>1</v>
      </c>
      <c r="D15" s="8" t="str">
        <f>+J2</f>
        <v>p(Y=1)</v>
      </c>
      <c r="E15" s="10" t="str">
        <f>CHAR(COLUMN(J3)+64)&amp;ROW(J3)</f>
        <v>J3</v>
      </c>
      <c r="F15" t="str">
        <f ca="1">_xlfn.FORMULATEXT(J3)</f>
        <v>=I3/(1+I3)</v>
      </c>
      <c r="H15" s="8">
        <f t="shared" si="3"/>
        <v>9.2699827580538283</v>
      </c>
      <c r="I15" s="39">
        <f t="shared" si="4"/>
        <v>10614.568869028833</v>
      </c>
      <c r="J15" s="8">
        <f t="shared" si="5"/>
        <v>0.99990579873652208</v>
      </c>
      <c r="K15" s="8">
        <f t="shared" si="6"/>
        <v>0.99990579873652208</v>
      </c>
      <c r="L15" s="10">
        <f t="shared" si="10"/>
        <v>-9.4205700695605742E-5</v>
      </c>
      <c r="M15" s="44">
        <f t="shared" si="11"/>
        <v>15</v>
      </c>
      <c r="N15" s="1" t="str">
        <f t="shared" si="7"/>
        <v/>
      </c>
      <c r="O15" s="1">
        <f t="shared" si="8"/>
        <v>195</v>
      </c>
      <c r="P15" s="73"/>
      <c r="Q15" s="39">
        <f t="shared" si="20"/>
        <v>102</v>
      </c>
      <c r="R15" s="13">
        <f t="shared" si="13"/>
        <v>-5.3962657465698207</v>
      </c>
      <c r="S15" s="8">
        <f t="shared" si="14"/>
        <v>4.5334785307927072E-3</v>
      </c>
      <c r="T15" s="23">
        <f t="shared" si="15"/>
        <v>4.5130188566968096E-3</v>
      </c>
      <c r="U15" s="8">
        <f t="shared" si="16"/>
        <v>-9.2630193916382053E-3</v>
      </c>
      <c r="V15" s="8">
        <f t="shared" si="17"/>
        <v>-0.63255956017104398</v>
      </c>
      <c r="W15" s="8">
        <f t="shared" si="18"/>
        <v>1.7020252622009874E-2</v>
      </c>
      <c r="X15" s="8">
        <f t="shared" si="19"/>
        <v>0</v>
      </c>
      <c r="Z15" s="8"/>
      <c r="AH15" s="27"/>
      <c r="AI15" s="27"/>
      <c r="AR15" s="1"/>
      <c r="AS15" s="1">
        <v>120</v>
      </c>
      <c r="AT15" s="11">
        <v>0</v>
      </c>
      <c r="AU15" s="27">
        <f>SUM(AT$2:AT15)/COUNTA(AS$2:AS15)</f>
        <v>0</v>
      </c>
      <c r="AV15" s="27">
        <f t="shared" si="9"/>
        <v>0</v>
      </c>
      <c r="AW15" s="27">
        <v>0</v>
      </c>
      <c r="AY15" s="13">
        <f t="shared" si="0"/>
        <v>-2.5576370037394369</v>
      </c>
      <c r="AZ15" s="36">
        <f t="shared" si="1"/>
        <v>7.7487627251213137E-2</v>
      </c>
      <c r="BA15" s="23">
        <f t="shared" si="2"/>
        <v>7.1915097019621857E-2</v>
      </c>
    </row>
    <row r="16" spans="1:53" x14ac:dyDescent="0.2">
      <c r="A16" s="1">
        <v>175</v>
      </c>
      <c r="B16" s="1">
        <v>1</v>
      </c>
      <c r="D16" s="8" t="str">
        <f>+K2</f>
        <v>p(OK)</v>
      </c>
      <c r="E16" s="10" t="str">
        <f>CHAR(COLUMN(K3)+64)&amp;ROW(K3)</f>
        <v>K3</v>
      </c>
      <c r="F16" t="str">
        <f ca="1">_xlfn.FORMULATEXT(K3)</f>
        <v>=IF(B3=1,J3,1-J3)</v>
      </c>
      <c r="H16" s="8">
        <f t="shared" si="3"/>
        <v>6.1159508215756233</v>
      </c>
      <c r="I16" s="39">
        <f t="shared" si="4"/>
        <v>453.02659011030312</v>
      </c>
      <c r="J16" s="8">
        <f t="shared" si="5"/>
        <v>0.99779748582620009</v>
      </c>
      <c r="K16" s="8">
        <f t="shared" si="6"/>
        <v>0.99779748582620009</v>
      </c>
      <c r="L16" s="10">
        <f t="shared" si="10"/>
        <v>-2.2049432755522507E-3</v>
      </c>
      <c r="M16" s="44">
        <f t="shared" si="11"/>
        <v>16</v>
      </c>
      <c r="N16" s="1" t="str">
        <f t="shared" si="7"/>
        <v/>
      </c>
      <c r="O16" s="1">
        <f t="shared" si="8"/>
        <v>175</v>
      </c>
      <c r="P16" s="73"/>
      <c r="Q16" s="39">
        <f t="shared" si="20"/>
        <v>104</v>
      </c>
      <c r="R16" s="13">
        <f t="shared" si="13"/>
        <v>-5.0808625529219995</v>
      </c>
      <c r="S16" s="8">
        <f t="shared" si="14"/>
        <v>6.2145463283796998E-3</v>
      </c>
      <c r="T16" s="23">
        <f t="shared" si="15"/>
        <v>6.1761642693958551E-3</v>
      </c>
      <c r="U16" s="8">
        <f t="shared" si="16"/>
        <v>1.9881664630543527E-2</v>
      </c>
      <c r="V16" s="8">
        <f t="shared" si="17"/>
        <v>-0.57452657299938859</v>
      </c>
      <c r="W16" s="8">
        <f t="shared" si="18"/>
        <v>2.1372362547053436E-2</v>
      </c>
      <c r="X16" s="8">
        <f t="shared" si="19"/>
        <v>0</v>
      </c>
      <c r="Z16" s="8"/>
      <c r="AA16" s="8"/>
      <c r="AH16" s="27"/>
      <c r="AI16" s="27"/>
      <c r="AR16" s="1"/>
      <c r="AS16" s="1">
        <v>120</v>
      </c>
      <c r="AT16" s="11">
        <v>0</v>
      </c>
      <c r="AU16" s="27">
        <f>SUM(AT$2:AT16)/COUNTA(AS$2:AS16)</f>
        <v>0</v>
      </c>
      <c r="AV16" s="27">
        <f t="shared" si="9"/>
        <v>0</v>
      </c>
      <c r="AW16" s="27">
        <v>0</v>
      </c>
      <c r="AY16" s="13">
        <f t="shared" si="0"/>
        <v>-2.5576370037394369</v>
      </c>
      <c r="AZ16" s="36">
        <f t="shared" si="1"/>
        <v>7.7487627251213137E-2</v>
      </c>
      <c r="BA16" s="23">
        <f t="shared" si="2"/>
        <v>7.1915097019621857E-2</v>
      </c>
    </row>
    <row r="17" spans="1:53" x14ac:dyDescent="0.2">
      <c r="A17" s="1">
        <v>120</v>
      </c>
      <c r="B17" s="1">
        <v>0</v>
      </c>
      <c r="D17" s="8" t="str">
        <f>+L2</f>
        <v>Ln(pOK)</v>
      </c>
      <c r="E17" s="10" t="str">
        <f>CHAR(COLUMN(L3)+64)&amp;ROW(L3)</f>
        <v>L3</v>
      </c>
      <c r="F17" t="str">
        <f ca="1">_xlfn.FORMULATEXT(L3)</f>
        <v>=LN(K3)</v>
      </c>
      <c r="H17" s="8">
        <f t="shared" si="3"/>
        <v>-2.5576370037394369</v>
      </c>
      <c r="I17" s="39">
        <f t="shared" si="4"/>
        <v>7.7487627251213137E-2</v>
      </c>
      <c r="J17" s="8">
        <f t="shared" si="5"/>
        <v>7.1915097019621857E-2</v>
      </c>
      <c r="K17" s="8">
        <f t="shared" si="6"/>
        <v>0.92808490298037816</v>
      </c>
      <c r="L17" s="10">
        <f t="shared" si="10"/>
        <v>-7.463206010033703E-2</v>
      </c>
      <c r="M17" s="44">
        <f t="shared" si="11"/>
        <v>17</v>
      </c>
      <c r="N17" s="1">
        <f t="shared" si="7"/>
        <v>120</v>
      </c>
      <c r="O17" s="1" t="str">
        <f t="shared" si="8"/>
        <v/>
      </c>
      <c r="P17" s="73"/>
      <c r="Q17" s="39">
        <f t="shared" si="20"/>
        <v>106</v>
      </c>
      <c r="R17" s="13">
        <f t="shared" si="13"/>
        <v>-4.7654593592741783</v>
      </c>
      <c r="S17" s="8">
        <f t="shared" si="14"/>
        <v>8.5189740737174197E-3</v>
      </c>
      <c r="T17" s="23">
        <f t="shared" si="15"/>
        <v>8.4470141789268188E-3</v>
      </c>
      <c r="U17" s="8">
        <f t="shared" si="16"/>
        <v>4.902634865272526E-2</v>
      </c>
      <c r="V17" s="8">
        <f t="shared" si="17"/>
        <v>-0.51649358582773297</v>
      </c>
      <c r="W17" s="8">
        <f t="shared" si="18"/>
        <v>2.6806966520180921E-2</v>
      </c>
      <c r="X17" s="8">
        <f t="shared" si="19"/>
        <v>0</v>
      </c>
      <c r="Z17" s="8"/>
      <c r="AA17" s="8"/>
      <c r="AH17" s="27"/>
      <c r="AI17" s="27"/>
      <c r="AR17" s="1"/>
      <c r="AS17" s="1">
        <v>120</v>
      </c>
      <c r="AT17" s="1">
        <v>0</v>
      </c>
      <c r="AU17" s="27">
        <f>SUM(AT$2:AT17)/COUNTA(AS$2:AS17)</f>
        <v>0</v>
      </c>
      <c r="AV17" s="27">
        <f t="shared" si="9"/>
        <v>0</v>
      </c>
      <c r="AW17" s="27">
        <v>0</v>
      </c>
      <c r="AY17" s="13">
        <f t="shared" si="0"/>
        <v>-2.5576370037394369</v>
      </c>
      <c r="AZ17" s="36">
        <f t="shared" si="1"/>
        <v>7.7487627251213137E-2</v>
      </c>
      <c r="BA17" s="23">
        <f t="shared" si="2"/>
        <v>7.1915097019621857E-2</v>
      </c>
    </row>
    <row r="18" spans="1:53" x14ac:dyDescent="0.2">
      <c r="A18" s="1">
        <v>112</v>
      </c>
      <c r="B18" s="1">
        <v>0</v>
      </c>
      <c r="D18" s="5" t="s">
        <v>17</v>
      </c>
      <c r="E18" s="10" t="str">
        <f>CHAR(COLUMN(R11)+64)&amp;ROW(R11)</f>
        <v>R11</v>
      </c>
      <c r="F18" s="15" t="str">
        <f ca="1">_xlfn.FORMULATEXT(R11)</f>
        <v>=D$3+E$3*Q11</v>
      </c>
      <c r="H18" s="8">
        <f t="shared" si="3"/>
        <v>-3.8192497783307182</v>
      </c>
      <c r="I18" s="39">
        <f t="shared" si="4"/>
        <v>2.1944257778035724E-2</v>
      </c>
      <c r="J18" s="8">
        <f t="shared" si="5"/>
        <v>2.1473047684369858E-2</v>
      </c>
      <c r="K18" s="8">
        <f t="shared" si="6"/>
        <v>0.97852695231563014</v>
      </c>
      <c r="L18" s="10">
        <f t="shared" si="10"/>
        <v>-2.170694800247765E-2</v>
      </c>
      <c r="M18" s="44">
        <f t="shared" si="11"/>
        <v>18</v>
      </c>
      <c r="N18" s="1">
        <f t="shared" si="7"/>
        <v>112</v>
      </c>
      <c r="O18" s="1" t="str">
        <f t="shared" si="8"/>
        <v/>
      </c>
      <c r="P18" s="73"/>
      <c r="Q18" s="39">
        <f t="shared" si="20"/>
        <v>108</v>
      </c>
      <c r="R18" s="13">
        <f t="shared" si="13"/>
        <v>-4.4500561656263606</v>
      </c>
      <c r="S18" s="8">
        <f t="shared" si="14"/>
        <v>1.1677911054786686E-2</v>
      </c>
      <c r="T18" s="23">
        <f t="shared" si="15"/>
        <v>1.1543111623946762E-2</v>
      </c>
      <c r="U18" s="8">
        <f t="shared" si="16"/>
        <v>7.8171032674906993E-2</v>
      </c>
      <c r="V18" s="8">
        <f t="shared" si="17"/>
        <v>-0.45846059865607758</v>
      </c>
      <c r="W18" s="8">
        <f t="shared" si="18"/>
        <v>3.3576078849181422E-2</v>
      </c>
      <c r="X18" s="8">
        <f t="shared" si="19"/>
        <v>0</v>
      </c>
      <c r="Z18" s="8"/>
      <c r="AA18" s="8"/>
      <c r="AH18" s="27"/>
      <c r="AI18" s="27"/>
      <c r="AR18" s="1"/>
      <c r="AS18" s="1">
        <v>121</v>
      </c>
      <c r="AT18" s="1">
        <v>0</v>
      </c>
      <c r="AU18" s="27">
        <f>SUM(AT$2:AT18)/COUNTA(AS$2:AS18)</f>
        <v>0</v>
      </c>
      <c r="AV18" s="27">
        <f t="shared" si="9"/>
        <v>0</v>
      </c>
      <c r="AW18" s="27">
        <v>0</v>
      </c>
      <c r="AY18" s="13">
        <f t="shared" si="0"/>
        <v>-2.3999354069155281</v>
      </c>
      <c r="AZ18" s="36">
        <f t="shared" si="1"/>
        <v>9.0723813231086262E-2</v>
      </c>
      <c r="BA18" s="23">
        <f t="shared" si="2"/>
        <v>8.3177622172135562E-2</v>
      </c>
    </row>
    <row r="19" spans="1:53" x14ac:dyDescent="0.2">
      <c r="A19" s="1">
        <v>190</v>
      </c>
      <c r="B19" s="1">
        <v>1</v>
      </c>
      <c r="D19" s="5" t="s">
        <v>18</v>
      </c>
      <c r="E19" s="1" t="str">
        <f>CHAR(COLUMN(S11)+64)&amp;ROW(S11)</f>
        <v>S11</v>
      </c>
      <c r="F19" s="1" t="str">
        <f ca="1">_xlfn.FORMULATEXT(S11)</f>
        <v>=EXP(R11)</v>
      </c>
      <c r="H19" s="8">
        <f t="shared" si="3"/>
        <v>8.4814747739342771</v>
      </c>
      <c r="I19" s="39">
        <f t="shared" si="4"/>
        <v>4824.5597878604931</v>
      </c>
      <c r="J19" s="8">
        <f t="shared" si="5"/>
        <v>0.99979277015642498</v>
      </c>
      <c r="K19" s="8">
        <f t="shared" si="6"/>
        <v>0.99979277015642498</v>
      </c>
      <c r="L19" s="10">
        <f t="shared" si="10"/>
        <v>-2.0725131864595431E-4</v>
      </c>
      <c r="M19" s="44">
        <f t="shared" si="11"/>
        <v>19</v>
      </c>
      <c r="N19" s="1" t="str">
        <f t="shared" si="7"/>
        <v/>
      </c>
      <c r="O19" s="1">
        <f t="shared" si="8"/>
        <v>190</v>
      </c>
      <c r="P19" s="73"/>
      <c r="Q19" s="39">
        <f t="shared" si="20"/>
        <v>110</v>
      </c>
      <c r="R19" s="13">
        <f t="shared" si="13"/>
        <v>-4.1346529719785394</v>
      </c>
      <c r="S19" s="8">
        <f t="shared" si="14"/>
        <v>1.6008219466736834E-2</v>
      </c>
      <c r="T19" s="23">
        <f t="shared" si="15"/>
        <v>1.5755994055972229E-2</v>
      </c>
      <c r="U19" s="8">
        <f t="shared" si="16"/>
        <v>0.10731571669708873</v>
      </c>
      <c r="V19" s="8">
        <f t="shared" si="17"/>
        <v>-0.40042761148442219</v>
      </c>
      <c r="W19" s="8">
        <f t="shared" si="18"/>
        <v>4.1980747394060061E-2</v>
      </c>
      <c r="X19" s="8">
        <f t="shared" si="19"/>
        <v>0</v>
      </c>
      <c r="Z19" s="8"/>
      <c r="AA19" s="8"/>
      <c r="AH19" s="27"/>
      <c r="AI19" s="27"/>
      <c r="AR19" s="1"/>
      <c r="AS19" s="1">
        <v>122</v>
      </c>
      <c r="AT19" s="1">
        <v>0</v>
      </c>
      <c r="AU19" s="27">
        <f>SUM(AT$2:AT19)/COUNTA(AS$2:AS19)</f>
        <v>0</v>
      </c>
      <c r="AV19" s="27">
        <f t="shared" si="9"/>
        <v>0</v>
      </c>
      <c r="AW19" s="27">
        <v>0</v>
      </c>
      <c r="AY19" s="13">
        <f t="shared" si="0"/>
        <v>-2.2422338100916157</v>
      </c>
      <c r="AZ19" s="36">
        <f t="shared" si="1"/>
        <v>0.10622096170921522</v>
      </c>
      <c r="BA19" s="23">
        <f t="shared" si="2"/>
        <v>9.6021468934284038E-2</v>
      </c>
    </row>
    <row r="20" spans="1:53" x14ac:dyDescent="0.2">
      <c r="A20" s="1">
        <v>155</v>
      </c>
      <c r="B20" s="1">
        <v>1</v>
      </c>
      <c r="D20" s="5" t="s">
        <v>40</v>
      </c>
      <c r="E20" s="23" t="str">
        <f>CHAR(COLUMN(T11)+64)&amp;ROW(T11)</f>
        <v>T11</v>
      </c>
      <c r="F20" s="1" t="str">
        <f ca="1">_xlfn.FORMULATEXT(T11)</f>
        <v>=S11/(1+S11)</v>
      </c>
      <c r="H20" s="8">
        <f t="shared" si="3"/>
        <v>2.9619188850974183</v>
      </c>
      <c r="I20" s="39">
        <f t="shared" si="4"/>
        <v>19.335037897374924</v>
      </c>
      <c r="J20" s="8">
        <f t="shared" si="5"/>
        <v>0.95082379462252731</v>
      </c>
      <c r="K20" s="8">
        <f t="shared" si="6"/>
        <v>0.95082379462252731</v>
      </c>
      <c r="L20" s="10">
        <f t="shared" si="10"/>
        <v>-5.0426517912598619E-2</v>
      </c>
      <c r="M20" s="44">
        <f t="shared" si="11"/>
        <v>20</v>
      </c>
      <c r="N20" s="1" t="str">
        <f t="shared" si="7"/>
        <v/>
      </c>
      <c r="O20" s="1">
        <f t="shared" si="8"/>
        <v>155</v>
      </c>
      <c r="P20" s="73"/>
      <c r="Q20" s="39">
        <f t="shared" si="20"/>
        <v>112</v>
      </c>
      <c r="R20" s="13">
        <f t="shared" si="13"/>
        <v>-3.8192497783307182</v>
      </c>
      <c r="S20" s="8">
        <f t="shared" si="14"/>
        <v>2.1944257778035724E-2</v>
      </c>
      <c r="T20" s="23">
        <f t="shared" si="15"/>
        <v>2.1473047684369858E-2</v>
      </c>
      <c r="U20" s="8">
        <f t="shared" si="16"/>
        <v>0.1364604007192704</v>
      </c>
      <c r="V20" s="8">
        <f t="shared" si="17"/>
        <v>-0.34239462431276668</v>
      </c>
      <c r="W20" s="8">
        <f t="shared" si="18"/>
        <v>5.2375231691658114E-2</v>
      </c>
      <c r="X20" s="8">
        <f t="shared" si="19"/>
        <v>0</v>
      </c>
      <c r="Z20" s="8"/>
      <c r="AA20" s="8"/>
      <c r="AH20" s="27"/>
      <c r="AI20" s="27"/>
      <c r="AR20" s="1"/>
      <c r="AS20" s="1">
        <v>123</v>
      </c>
      <c r="AT20" s="1">
        <v>1</v>
      </c>
      <c r="AU20" s="27">
        <f>SUM(AT$2:AT20)/COUNTA(AS$2:AS20)</f>
        <v>5.2631578947368418E-2</v>
      </c>
      <c r="AV20" s="27">
        <f t="shared" si="9"/>
        <v>8.4949215143120954E-2</v>
      </c>
      <c r="AW20" s="4"/>
      <c r="AY20" s="13">
        <f t="shared" si="0"/>
        <v>-2.0845322132677069</v>
      </c>
      <c r="AZ20" s="36">
        <f t="shared" si="1"/>
        <v>0.12436528299016066</v>
      </c>
      <c r="BA20" s="23">
        <f t="shared" si="2"/>
        <v>0.11060932320804233</v>
      </c>
    </row>
    <row r="21" spans="1:53" x14ac:dyDescent="0.2">
      <c r="A21" s="1">
        <v>155</v>
      </c>
      <c r="B21" s="1">
        <v>1</v>
      </c>
      <c r="D21" s="5" t="str">
        <f>U10</f>
        <v>pY OLS1</v>
      </c>
      <c r="E21" s="23" t="str">
        <f>CHAR(COLUMN(U11)+64)&amp;ROW(U11)</f>
        <v>U11</v>
      </c>
      <c r="F21" s="14" t="str">
        <f ca="1">_xlfn.FORMULATEXT(U11)</f>
        <v>=E$50+D$30*(Q11-E$61)</v>
      </c>
      <c r="H21" s="8">
        <f t="shared" si="3"/>
        <v>2.9619188850974183</v>
      </c>
      <c r="I21" s="39">
        <f t="shared" si="4"/>
        <v>19.335037897374924</v>
      </c>
      <c r="J21" s="8">
        <f t="shared" si="5"/>
        <v>0.95082379462252731</v>
      </c>
      <c r="K21" s="8">
        <f t="shared" si="6"/>
        <v>0.95082379462252731</v>
      </c>
      <c r="L21" s="10">
        <f t="shared" si="10"/>
        <v>-5.0426517912598619E-2</v>
      </c>
      <c r="M21" s="44">
        <f t="shared" si="11"/>
        <v>21</v>
      </c>
      <c r="N21" s="1" t="str">
        <f t="shared" si="7"/>
        <v/>
      </c>
      <c r="O21" s="1">
        <f t="shared" si="8"/>
        <v>155</v>
      </c>
      <c r="P21" s="73"/>
      <c r="Q21" s="39">
        <f t="shared" si="20"/>
        <v>114</v>
      </c>
      <c r="R21" s="13">
        <f t="shared" si="13"/>
        <v>-3.503846584682897</v>
      </c>
      <c r="S21" s="8">
        <f t="shared" ref="S21:S46" si="21">EXP(R21)</f>
        <v>3.0081449747080595E-2</v>
      </c>
      <c r="T21" s="23">
        <f t="shared" ref="T21:T46" si="22">S21/(1+S21)</f>
        <v>2.9202981720005343E-2</v>
      </c>
      <c r="U21" s="8">
        <f t="shared" si="16"/>
        <v>0.16560508474145214</v>
      </c>
      <c r="V21" s="8">
        <f t="shared" si="17"/>
        <v>-0.28436163714111129</v>
      </c>
      <c r="W21" s="8">
        <f t="shared" si="18"/>
        <v>6.5168330427310975E-2</v>
      </c>
      <c r="X21" s="8">
        <f t="shared" si="19"/>
        <v>0</v>
      </c>
      <c r="Z21" s="8"/>
      <c r="AA21" s="8"/>
      <c r="AH21" s="27"/>
      <c r="AI21" s="27"/>
      <c r="AR21" s="1"/>
      <c r="AS21" s="1">
        <v>125</v>
      </c>
      <c r="AT21" s="11">
        <v>0</v>
      </c>
      <c r="AU21" s="27">
        <f>SUM(AT$2:AT21)/COUNTA(AS$2:AS21)</f>
        <v>0.05</v>
      </c>
      <c r="AV21" s="27">
        <f t="shared" si="9"/>
        <v>8.0701754385964913E-2</v>
      </c>
      <c r="AW21" s="4"/>
      <c r="AY21" s="13">
        <f t="shared" si="0"/>
        <v>-1.7691290196198857</v>
      </c>
      <c r="AZ21" s="36">
        <f t="shared" si="1"/>
        <v>0.17048141014340779</v>
      </c>
      <c r="BA21" s="23">
        <f t="shared" si="2"/>
        <v>0.14565067729056913</v>
      </c>
    </row>
    <row r="22" spans="1:53" x14ac:dyDescent="0.2">
      <c r="A22" s="1">
        <v>122</v>
      </c>
      <c r="B22" s="1">
        <v>0</v>
      </c>
      <c r="D22" s="5" t="str">
        <f>V10</f>
        <v>pY OLS2</v>
      </c>
      <c r="E22" s="23" t="str">
        <f>CHAR(COLUMN(V11)+64)&amp;ROW(V11)</f>
        <v>V11</v>
      </c>
      <c r="F22" s="14" t="str">
        <f ca="1">_xlfn.FORMULATEXT(V11)</f>
        <v>=E$50+D$42*(Q11-E$61)</v>
      </c>
      <c r="H22" s="8">
        <f t="shared" si="3"/>
        <v>-2.2422338100916157</v>
      </c>
      <c r="I22" s="39">
        <f t="shared" si="4"/>
        <v>0.10622096170921522</v>
      </c>
      <c r="J22" s="8">
        <f t="shared" si="5"/>
        <v>9.6021468934284038E-2</v>
      </c>
      <c r="K22" s="8">
        <f t="shared" si="6"/>
        <v>0.90397853106571602</v>
      </c>
      <c r="L22" s="10">
        <f t="shared" si="10"/>
        <v>-0.10094966769307888</v>
      </c>
      <c r="M22" s="44">
        <f t="shared" si="11"/>
        <v>22</v>
      </c>
      <c r="N22" s="1">
        <f t="shared" si="7"/>
        <v>122</v>
      </c>
      <c r="O22" s="1" t="str">
        <f t="shared" si="8"/>
        <v/>
      </c>
      <c r="P22" s="73"/>
      <c r="Q22" s="39">
        <f t="shared" si="20"/>
        <v>116</v>
      </c>
      <c r="R22" s="13">
        <f t="shared" si="13"/>
        <v>-3.1884433910350793</v>
      </c>
      <c r="S22" s="8">
        <f t="shared" si="21"/>
        <v>4.1236009348735003E-2</v>
      </c>
      <c r="T22" s="23">
        <f t="shared" si="22"/>
        <v>3.9602942059722861E-2</v>
      </c>
      <c r="U22" s="8">
        <f t="shared" si="16"/>
        <v>0.19474976876363387</v>
      </c>
      <c r="V22" s="8">
        <f t="shared" si="17"/>
        <v>-0.22632864996945579</v>
      </c>
      <c r="W22" s="8">
        <f t="shared" si="18"/>
        <v>8.0819747274425563E-2</v>
      </c>
      <c r="X22" s="8">
        <f t="shared" si="19"/>
        <v>0</v>
      </c>
      <c r="Z22" s="8"/>
      <c r="AA22" s="9"/>
      <c r="AH22" s="27"/>
      <c r="AI22" s="27"/>
      <c r="AR22" s="1"/>
      <c r="AS22" s="1">
        <v>125</v>
      </c>
      <c r="AT22" s="1">
        <v>0</v>
      </c>
      <c r="AU22" s="27">
        <f>SUM(AT$2:AT22)/COUNTA(AS$2:AS22)</f>
        <v>4.7619047619047616E-2</v>
      </c>
      <c r="AV22" s="27">
        <f t="shared" si="9"/>
        <v>7.685881370091896E-2</v>
      </c>
      <c r="AW22" s="4"/>
      <c r="AY22" s="13">
        <f t="shared" si="0"/>
        <v>-1.7691290196198857</v>
      </c>
      <c r="AZ22" s="36">
        <f t="shared" si="1"/>
        <v>0.17048141014340779</v>
      </c>
      <c r="BA22" s="23">
        <f t="shared" si="2"/>
        <v>0.14565067729056913</v>
      </c>
    </row>
    <row r="23" spans="1:53" x14ac:dyDescent="0.2">
      <c r="A23" s="1">
        <v>140</v>
      </c>
      <c r="B23" s="1">
        <v>1</v>
      </c>
      <c r="D23" s="10" t="str">
        <f>W10</f>
        <v>pY Est</v>
      </c>
      <c r="E23" s="23" t="str">
        <f>CHAR(COLUMN(W11)+64)&amp;ROW(W11)</f>
        <v>W11</v>
      </c>
      <c r="F23" s="56" t="str">
        <f ca="1">_xlfn.FORMULATEXT(W11)</f>
        <v>=1/(1+EXP((4*D$42)*(D$32-Q11)))</v>
      </c>
      <c r="H23" s="8">
        <f t="shared" si="3"/>
        <v>0.59639493273876809</v>
      </c>
      <c r="I23" s="39">
        <f t="shared" si="4"/>
        <v>1.8155617659338168</v>
      </c>
      <c r="J23" s="8">
        <f t="shared" si="5"/>
        <v>0.64483109122333993</v>
      </c>
      <c r="K23" s="8">
        <f t="shared" si="6"/>
        <v>0.64483109122333993</v>
      </c>
      <c r="L23" s="10">
        <f t="shared" si="10"/>
        <v>-0.43876687055370811</v>
      </c>
      <c r="M23" s="44">
        <f t="shared" si="11"/>
        <v>23</v>
      </c>
      <c r="N23" s="1" t="str">
        <f t="shared" si="7"/>
        <v/>
      </c>
      <c r="O23" s="1">
        <f t="shared" si="8"/>
        <v>140</v>
      </c>
      <c r="P23" s="73"/>
      <c r="Q23" s="39">
        <f t="shared" si="20"/>
        <v>118</v>
      </c>
      <c r="R23" s="13">
        <f t="shared" si="13"/>
        <v>-2.8730401973872581</v>
      </c>
      <c r="S23" s="8">
        <f t="shared" si="21"/>
        <v>5.6526812414484491E-2</v>
      </c>
      <c r="T23" s="23">
        <f t="shared" si="22"/>
        <v>5.3502487348431382E-2</v>
      </c>
      <c r="U23" s="8">
        <f t="shared" si="16"/>
        <v>0.2238944527858156</v>
      </c>
      <c r="V23" s="8">
        <f t="shared" si="17"/>
        <v>-0.16829566279780039</v>
      </c>
      <c r="W23" s="8">
        <f t="shared" si="18"/>
        <v>9.9828735903918511E-2</v>
      </c>
      <c r="X23" s="8">
        <f t="shared" si="19"/>
        <v>0</v>
      </c>
      <c r="Z23" s="8"/>
      <c r="AA23" s="8"/>
      <c r="AH23" s="27"/>
      <c r="AI23" s="27"/>
      <c r="AR23" s="1">
        <f>2.4956/0.0146</f>
        <v>170.93150684931507</v>
      </c>
      <c r="AS23" s="1">
        <v>125</v>
      </c>
      <c r="AT23" s="1">
        <v>0</v>
      </c>
      <c r="AU23" s="27">
        <f>SUM(AT$2:AT23)/COUNTA(AS$2:AS23)</f>
        <v>4.5454545454545456E-2</v>
      </c>
      <c r="AV23" s="27">
        <f t="shared" si="9"/>
        <v>7.3365231259968106E-2</v>
      </c>
      <c r="AW23" s="4"/>
      <c r="AY23" s="13">
        <f t="shared" si="0"/>
        <v>-1.7691290196198857</v>
      </c>
      <c r="AZ23" s="36">
        <f t="shared" si="1"/>
        <v>0.17048141014340779</v>
      </c>
      <c r="BA23" s="23">
        <f t="shared" si="2"/>
        <v>0.14565067729056913</v>
      </c>
    </row>
    <row r="24" spans="1:53" x14ac:dyDescent="0.2">
      <c r="A24" s="1">
        <v>155</v>
      </c>
      <c r="B24" s="1">
        <v>1</v>
      </c>
      <c r="H24" s="8">
        <f t="shared" si="3"/>
        <v>2.9619188850974183</v>
      </c>
      <c r="I24" s="39">
        <f t="shared" si="4"/>
        <v>19.335037897374924</v>
      </c>
      <c r="J24" s="8">
        <f t="shared" si="5"/>
        <v>0.95082379462252731</v>
      </c>
      <c r="K24" s="8">
        <f t="shared" si="6"/>
        <v>0.95082379462252731</v>
      </c>
      <c r="L24" s="10">
        <f t="shared" si="10"/>
        <v>-5.0426517912598619E-2</v>
      </c>
      <c r="M24" s="44">
        <f t="shared" si="11"/>
        <v>24</v>
      </c>
      <c r="N24" s="1" t="str">
        <f t="shared" si="7"/>
        <v/>
      </c>
      <c r="O24" s="1">
        <f t="shared" si="8"/>
        <v>155</v>
      </c>
      <c r="P24" s="73"/>
      <c r="Q24" s="39">
        <f t="shared" si="20"/>
        <v>120</v>
      </c>
      <c r="R24" s="13">
        <f t="shared" si="13"/>
        <v>-2.5576370037394369</v>
      </c>
      <c r="S24" s="8">
        <f t="shared" si="21"/>
        <v>7.7487627251213137E-2</v>
      </c>
      <c r="T24" s="23">
        <f t="shared" si="22"/>
        <v>7.1915097019621857E-2</v>
      </c>
      <c r="U24" s="8">
        <f t="shared" si="16"/>
        <v>0.25303913680799733</v>
      </c>
      <c r="V24" s="8">
        <f t="shared" si="17"/>
        <v>-0.11026267562614489</v>
      </c>
      <c r="W24" s="8">
        <f t="shared" si="18"/>
        <v>0.12271180310899769</v>
      </c>
      <c r="X24" s="8">
        <f t="shared" si="19"/>
        <v>0</v>
      </c>
      <c r="Z24" s="8"/>
      <c r="AA24" s="8"/>
      <c r="AH24" s="27"/>
      <c r="AI24" s="27"/>
      <c r="AR24" s="1"/>
      <c r="AS24" s="1">
        <v>125</v>
      </c>
      <c r="AT24" s="1">
        <v>0</v>
      </c>
      <c r="AU24" s="27">
        <f>SUM(AT$2:AT24)/COUNTA(AS$2:AS24)</f>
        <v>4.3478260869565216E-2</v>
      </c>
      <c r="AV24" s="27">
        <f t="shared" si="9"/>
        <v>7.0175438596491224E-2</v>
      </c>
      <c r="AW24" s="4"/>
      <c r="AY24" s="13">
        <f t="shared" si="0"/>
        <v>-1.7691290196198857</v>
      </c>
      <c r="AZ24" s="36">
        <f t="shared" si="1"/>
        <v>0.17048141014340779</v>
      </c>
      <c r="BA24" s="23">
        <f t="shared" si="2"/>
        <v>0.14565067729056913</v>
      </c>
    </row>
    <row r="25" spans="1:53" x14ac:dyDescent="0.2">
      <c r="A25" s="1">
        <v>160</v>
      </c>
      <c r="B25" s="1">
        <v>1</v>
      </c>
      <c r="D25" s="46">
        <f>E3/4</f>
        <v>3.9425399205977547E-2</v>
      </c>
      <c r="E25" s="28" t="s">
        <v>43</v>
      </c>
      <c r="F25" s="1" t="str">
        <f ca="1">_xlfn.FORMULATEXT(D25)</f>
        <v>=E3/4</v>
      </c>
      <c r="H25" s="8">
        <f t="shared" si="3"/>
        <v>3.7504268692169695</v>
      </c>
      <c r="I25" s="39">
        <f t="shared" si="4"/>
        <v>42.539236815631121</v>
      </c>
      <c r="J25" s="8">
        <f t="shared" si="5"/>
        <v>0.97703221110111449</v>
      </c>
      <c r="K25" s="8">
        <f t="shared" si="6"/>
        <v>0.97703221110111449</v>
      </c>
      <c r="L25" s="10">
        <f t="shared" si="10"/>
        <v>-2.3235658085581676E-2</v>
      </c>
      <c r="M25" s="44">
        <f t="shared" si="11"/>
        <v>25</v>
      </c>
      <c r="N25" s="1" t="str">
        <f t="shared" si="7"/>
        <v/>
      </c>
      <c r="O25" s="1">
        <f t="shared" si="8"/>
        <v>160</v>
      </c>
      <c r="P25" s="73"/>
      <c r="Q25" s="39">
        <f t="shared" si="20"/>
        <v>122</v>
      </c>
      <c r="R25" s="13">
        <f t="shared" si="13"/>
        <v>-2.2422338100916157</v>
      </c>
      <c r="S25" s="8">
        <f t="shared" si="21"/>
        <v>0.10622096170921522</v>
      </c>
      <c r="T25" s="23">
        <f t="shared" si="22"/>
        <v>9.6021468934284038E-2</v>
      </c>
      <c r="U25" s="8">
        <f t="shared" si="16"/>
        <v>0.28218382083017901</v>
      </c>
      <c r="V25" s="8">
        <f t="shared" si="17"/>
        <v>-5.2229688454489498E-2</v>
      </c>
      <c r="W25" s="8">
        <f t="shared" si="18"/>
        <v>0.14996634194770711</v>
      </c>
      <c r="X25" s="8">
        <f t="shared" si="19"/>
        <v>0</v>
      </c>
      <c r="Z25" s="8"/>
      <c r="AA25" s="8"/>
      <c r="AR25" s="1"/>
      <c r="AS25" s="1">
        <v>125</v>
      </c>
      <c r="AT25" s="1">
        <v>0</v>
      </c>
      <c r="AU25" s="27">
        <f>SUM(AT$2:AT25)/COUNTA(AS$2:AS25)</f>
        <v>4.1666666666666664E-2</v>
      </c>
      <c r="AV25" s="27">
        <f t="shared" si="9"/>
        <v>6.725146198830409E-2</v>
      </c>
      <c r="AW25" s="4"/>
      <c r="AY25" s="13">
        <f t="shared" si="0"/>
        <v>-1.7691290196198857</v>
      </c>
      <c r="AZ25" s="36">
        <f t="shared" si="1"/>
        <v>0.17048141014340779</v>
      </c>
      <c r="BA25" s="23">
        <f t="shared" si="2"/>
        <v>0.14565067729056913</v>
      </c>
    </row>
    <row r="26" spans="1:53" x14ac:dyDescent="0.2">
      <c r="A26" s="1">
        <v>130</v>
      </c>
      <c r="B26" s="1">
        <v>0</v>
      </c>
      <c r="D26" s="28">
        <f>-D3/E3</f>
        <v>136.21820612631652</v>
      </c>
      <c r="E26" s="57" t="s">
        <v>35</v>
      </c>
      <c r="F26" s="1" t="str">
        <f ca="1">_xlfn.FORMULATEXT(D26)</f>
        <v>=-D3/E3</v>
      </c>
      <c r="H26" s="8">
        <f t="shared" si="3"/>
        <v>-0.98062103550033441</v>
      </c>
      <c r="I26" s="39">
        <f t="shared" si="4"/>
        <v>0.3750780896963109</v>
      </c>
      <c r="J26" s="8">
        <f t="shared" si="5"/>
        <v>0.27276857402269261</v>
      </c>
      <c r="K26" s="8">
        <f t="shared" si="6"/>
        <v>0.72723142597730739</v>
      </c>
      <c r="L26" s="10">
        <f t="shared" si="10"/>
        <v>-0.31851052201230923</v>
      </c>
      <c r="M26" s="44">
        <f t="shared" si="11"/>
        <v>26</v>
      </c>
      <c r="N26" s="1">
        <f t="shared" si="7"/>
        <v>130</v>
      </c>
      <c r="O26" s="1" t="str">
        <f t="shared" si="8"/>
        <v/>
      </c>
      <c r="P26" s="73"/>
      <c r="Q26" s="39">
        <f t="shared" si="20"/>
        <v>124</v>
      </c>
      <c r="R26" s="13">
        <f t="shared" si="13"/>
        <v>-1.926830616443798</v>
      </c>
      <c r="S26" s="8">
        <f t="shared" si="21"/>
        <v>0.14560895857414297</v>
      </c>
      <c r="T26" s="23">
        <f t="shared" si="22"/>
        <v>0.12710179811737154</v>
      </c>
      <c r="U26" s="8">
        <f t="shared" si="16"/>
        <v>0.31132850485236074</v>
      </c>
      <c r="V26" s="8">
        <f t="shared" si="17"/>
        <v>5.8032987171660055E-3</v>
      </c>
      <c r="W26" s="8">
        <f t="shared" si="18"/>
        <v>0.18201824303885022</v>
      </c>
      <c r="X26" s="8">
        <f t="shared" si="19"/>
        <v>8.4949215143120954E-2</v>
      </c>
      <c r="Z26" s="8"/>
      <c r="AA26" s="8"/>
      <c r="AR26" s="1"/>
      <c r="AS26" s="1">
        <v>130</v>
      </c>
      <c r="AT26" s="1">
        <v>0</v>
      </c>
      <c r="AU26" s="27">
        <f>SUM(AT$2:AT26)/COUNTA(AS$2:AS26)</f>
        <v>0.04</v>
      </c>
      <c r="AV26" s="27">
        <f t="shared" si="9"/>
        <v>6.4561403508771931E-2</v>
      </c>
      <c r="AW26" s="4"/>
      <c r="AY26" s="13">
        <f t="shared" si="0"/>
        <v>-0.98062103550033441</v>
      </c>
      <c r="AZ26" s="36">
        <f t="shared" si="1"/>
        <v>0.3750780896963109</v>
      </c>
      <c r="BA26" s="23">
        <f t="shared" si="2"/>
        <v>0.27276857402269261</v>
      </c>
    </row>
    <row r="27" spans="1:53" x14ac:dyDescent="0.2">
      <c r="A27" s="1">
        <v>190</v>
      </c>
      <c r="B27" s="1">
        <v>1</v>
      </c>
      <c r="D27" s="38"/>
      <c r="E27" s="40"/>
      <c r="F27" s="38"/>
      <c r="G27" s="38"/>
      <c r="H27" s="8">
        <f t="shared" si="3"/>
        <v>8.4814747739342771</v>
      </c>
      <c r="I27" s="39">
        <f t="shared" si="4"/>
        <v>4824.5597878604931</v>
      </c>
      <c r="J27" s="8">
        <f t="shared" si="5"/>
        <v>0.99979277015642498</v>
      </c>
      <c r="K27" s="8">
        <f t="shared" si="6"/>
        <v>0.99979277015642498</v>
      </c>
      <c r="L27" s="10">
        <f t="shared" si="10"/>
        <v>-2.0725131864595431E-4</v>
      </c>
      <c r="M27" s="44">
        <f t="shared" si="11"/>
        <v>27</v>
      </c>
      <c r="N27" s="1" t="str">
        <f t="shared" si="7"/>
        <v/>
      </c>
      <c r="O27" s="1">
        <f t="shared" si="8"/>
        <v>190</v>
      </c>
      <c r="P27" s="73"/>
      <c r="Q27" s="39">
        <f t="shared" si="20"/>
        <v>126</v>
      </c>
      <c r="R27" s="13">
        <f t="shared" si="13"/>
        <v>-1.6114274227959768</v>
      </c>
      <c r="S27" s="8">
        <f t="shared" si="21"/>
        <v>0.19960249348041043</v>
      </c>
      <c r="T27" s="23">
        <f t="shared" si="22"/>
        <v>0.16639052900040505</v>
      </c>
      <c r="U27" s="8">
        <f t="shared" si="16"/>
        <v>0.34047318887454248</v>
      </c>
      <c r="V27" s="8">
        <f t="shared" si="17"/>
        <v>6.3836285888821398E-2</v>
      </c>
      <c r="W27" s="8">
        <f t="shared" si="18"/>
        <v>0.21915435955681389</v>
      </c>
      <c r="X27" s="8">
        <f t="shared" si="19"/>
        <v>6.725146198830409E-2</v>
      </c>
      <c r="Z27" s="8"/>
      <c r="AA27" s="8"/>
      <c r="AR27" s="1"/>
      <c r="AS27" s="1">
        <v>130</v>
      </c>
      <c r="AT27" s="1">
        <v>1</v>
      </c>
      <c r="AU27" s="27">
        <f>SUM(AT$2:AT27)/COUNTA(AS$2:AS27)</f>
        <v>7.6923076923076927E-2</v>
      </c>
      <c r="AV27" s="27">
        <f t="shared" si="9"/>
        <v>0.12415654520917679</v>
      </c>
      <c r="AW27" s="4"/>
      <c r="AY27" s="13">
        <f t="shared" si="0"/>
        <v>-0.98062103550033441</v>
      </c>
      <c r="AZ27" s="36">
        <f t="shared" si="1"/>
        <v>0.3750780896963109</v>
      </c>
      <c r="BA27" s="23">
        <f t="shared" si="2"/>
        <v>0.27276857402269261</v>
      </c>
    </row>
    <row r="28" spans="1:53" x14ac:dyDescent="0.2">
      <c r="A28" s="1">
        <v>175</v>
      </c>
      <c r="B28" s="1">
        <v>1</v>
      </c>
      <c r="D28" s="42" t="s">
        <v>61</v>
      </c>
      <c r="H28" s="8">
        <f t="shared" si="3"/>
        <v>6.1159508215756233</v>
      </c>
      <c r="I28" s="39">
        <f t="shared" si="4"/>
        <v>453.02659011030312</v>
      </c>
      <c r="J28" s="8">
        <f t="shared" si="5"/>
        <v>0.99779748582620009</v>
      </c>
      <c r="K28" s="8">
        <f t="shared" si="6"/>
        <v>0.99779748582620009</v>
      </c>
      <c r="L28" s="10">
        <f t="shared" si="10"/>
        <v>-2.2049432755522507E-3</v>
      </c>
      <c r="M28" s="44">
        <f t="shared" si="11"/>
        <v>28</v>
      </c>
      <c r="N28" s="1" t="str">
        <f t="shared" si="7"/>
        <v/>
      </c>
      <c r="O28" s="1">
        <f t="shared" si="8"/>
        <v>175</v>
      </c>
      <c r="P28" s="73"/>
      <c r="Q28" s="39">
        <f t="shared" si="20"/>
        <v>128</v>
      </c>
      <c r="R28" s="13">
        <f t="shared" si="13"/>
        <v>-1.2960242291481556</v>
      </c>
      <c r="S28" s="8">
        <f t="shared" si="21"/>
        <v>0.27361747377178364</v>
      </c>
      <c r="T28" s="23">
        <f t="shared" si="22"/>
        <v>0.21483489305581913</v>
      </c>
      <c r="U28" s="8">
        <f t="shared" si="16"/>
        <v>0.36961787289672421</v>
      </c>
      <c r="V28" s="8">
        <f t="shared" si="17"/>
        <v>0.1218692730604769</v>
      </c>
      <c r="W28" s="8">
        <f t="shared" si="18"/>
        <v>0.26144546722449641</v>
      </c>
      <c r="X28" s="8">
        <f t="shared" si="19"/>
        <v>6.725146198830409E-2</v>
      </c>
      <c r="Z28" s="8"/>
      <c r="AA28" s="8"/>
      <c r="AR28" s="1"/>
      <c r="AS28" s="1">
        <v>130</v>
      </c>
      <c r="AT28" s="1">
        <v>1</v>
      </c>
      <c r="AU28" s="27">
        <f>SUM(AT$2:AT28)/COUNTA(AS$2:AS28)</f>
        <v>0.1111111111111111</v>
      </c>
      <c r="AV28" s="27">
        <f t="shared" si="9"/>
        <v>0.17933723196881091</v>
      </c>
      <c r="AW28" s="4"/>
      <c r="AY28" s="13">
        <f t="shared" si="0"/>
        <v>-0.98062103550033441</v>
      </c>
      <c r="AZ28" s="36">
        <f t="shared" si="1"/>
        <v>0.3750780896963109</v>
      </c>
      <c r="BA28" s="23">
        <f t="shared" si="2"/>
        <v>0.27276857402269261</v>
      </c>
    </row>
    <row r="29" spans="1:53" x14ac:dyDescent="0.2">
      <c r="A29" s="1">
        <v>130</v>
      </c>
      <c r="B29" s="1">
        <v>1</v>
      </c>
      <c r="D29" s="18">
        <f>INTERCEPT(B3:B94, A3:A94)</f>
        <v>-1.4956419045229064</v>
      </c>
      <c r="E29" s="6" t="s">
        <v>64</v>
      </c>
      <c r="F29" s="47" t="str">
        <f ca="1">_xlfn.FORMULATEXT(D29)</f>
        <v>=INTERCEPT(B3:B94, A3:A94)</v>
      </c>
      <c r="H29" s="8">
        <f t="shared" si="3"/>
        <v>-0.98062103550033441</v>
      </c>
      <c r="I29" s="39">
        <f t="shared" si="4"/>
        <v>0.3750780896963109</v>
      </c>
      <c r="J29" s="8">
        <f t="shared" si="5"/>
        <v>0.27276857402269261</v>
      </c>
      <c r="K29" s="8">
        <f t="shared" si="6"/>
        <v>0.27276857402269261</v>
      </c>
      <c r="L29" s="10">
        <f t="shared" si="10"/>
        <v>-1.2991315575126436</v>
      </c>
      <c r="M29" s="44">
        <f t="shared" si="11"/>
        <v>29</v>
      </c>
      <c r="N29" s="1" t="str">
        <f t="shared" si="7"/>
        <v/>
      </c>
      <c r="O29" s="1">
        <f t="shared" si="8"/>
        <v>130</v>
      </c>
      <c r="P29" s="73"/>
      <c r="Q29" s="39">
        <f t="shared" si="20"/>
        <v>130</v>
      </c>
      <c r="R29" s="13">
        <f t="shared" si="13"/>
        <v>-0.98062103550033441</v>
      </c>
      <c r="S29" s="8">
        <f t="shared" si="21"/>
        <v>0.3750780896963109</v>
      </c>
      <c r="T29" s="23">
        <f t="shared" si="22"/>
        <v>0.27276857402269261</v>
      </c>
      <c r="U29" s="8">
        <f t="shared" si="16"/>
        <v>0.39876255691890594</v>
      </c>
      <c r="V29" s="8">
        <f t="shared" si="17"/>
        <v>0.17990226023213235</v>
      </c>
      <c r="W29" s="8">
        <f t="shared" si="18"/>
        <v>0.30867155002218677</v>
      </c>
      <c r="X29" s="8">
        <f t="shared" si="19"/>
        <v>0.16696914700544466</v>
      </c>
      <c r="AB29" s="2"/>
      <c r="AR29" s="1"/>
      <c r="AS29" s="1">
        <v>130</v>
      </c>
      <c r="AT29" s="1">
        <v>0</v>
      </c>
      <c r="AU29" s="27">
        <f>SUM(AT$2:AT29)/COUNTA(AS$2:AS29)</f>
        <v>0.10714285714285714</v>
      </c>
      <c r="AV29" s="27">
        <f t="shared" si="9"/>
        <v>0.17293233082706766</v>
      </c>
      <c r="AW29" s="4"/>
      <c r="AY29" s="13">
        <f t="shared" si="0"/>
        <v>-0.98062103550033441</v>
      </c>
      <c r="AZ29" s="36">
        <f t="shared" si="1"/>
        <v>0.3750780896963109</v>
      </c>
      <c r="BA29" s="23">
        <f t="shared" si="2"/>
        <v>0.27276857402269261</v>
      </c>
    </row>
    <row r="30" spans="1:53" x14ac:dyDescent="0.2">
      <c r="A30" s="1">
        <v>125</v>
      </c>
      <c r="B30" s="1">
        <v>0</v>
      </c>
      <c r="D30" s="43">
        <f>SLOPE(B3:B94,A3:A94)</f>
        <v>1.4572342011090863E-2</v>
      </c>
      <c r="E30" s="28" t="s">
        <v>65</v>
      </c>
      <c r="F30" s="48" t="str">
        <f ca="1">_xlfn.FORMULATEXT(D30)</f>
        <v>=SLOPE(B3:B94,A3:A94)</v>
      </c>
      <c r="H30" s="8">
        <f t="shared" si="3"/>
        <v>-1.7691290196198857</v>
      </c>
      <c r="I30" s="39">
        <f t="shared" si="4"/>
        <v>0.17048141014340779</v>
      </c>
      <c r="J30" s="8">
        <f t="shared" si="5"/>
        <v>0.14565067729056913</v>
      </c>
      <c r="K30" s="8">
        <f t="shared" si="6"/>
        <v>0.85434932270943087</v>
      </c>
      <c r="L30" s="10">
        <f t="shared" si="10"/>
        <v>-0.15741512584356088</v>
      </c>
      <c r="M30" s="44">
        <f t="shared" si="11"/>
        <v>30</v>
      </c>
      <c r="N30" s="1">
        <f t="shared" si="7"/>
        <v>125</v>
      </c>
      <c r="O30" s="1" t="str">
        <f t="shared" si="8"/>
        <v/>
      </c>
      <c r="P30" s="73"/>
      <c r="Q30" s="39">
        <f t="shared" si="20"/>
        <v>132</v>
      </c>
      <c r="R30" s="13">
        <f t="shared" si="13"/>
        <v>-0.6652178418525132</v>
      </c>
      <c r="S30" s="8">
        <f t="shared" si="21"/>
        <v>0.51416150961021567</v>
      </c>
      <c r="T30" s="23">
        <f t="shared" si="22"/>
        <v>0.33956847162399084</v>
      </c>
      <c r="U30" s="8">
        <f t="shared" si="16"/>
        <v>0.42790724094108767</v>
      </c>
      <c r="V30" s="8">
        <f t="shared" si="17"/>
        <v>0.2379352474037878</v>
      </c>
      <c r="W30" s="8">
        <f t="shared" si="18"/>
        <v>0.36026703630330437</v>
      </c>
      <c r="X30" s="8">
        <f t="shared" si="19"/>
        <v>0.16140350877192983</v>
      </c>
      <c r="AR30" s="1"/>
      <c r="AS30" s="1">
        <v>130</v>
      </c>
      <c r="AT30" s="1">
        <v>0</v>
      </c>
      <c r="AU30" s="27">
        <f>SUM(AT$2:AT30)/COUNTA(AS$2:AS30)</f>
        <v>0.10344827586206896</v>
      </c>
      <c r="AV30" s="27">
        <f t="shared" si="9"/>
        <v>0.16696914700544466</v>
      </c>
      <c r="AW30" s="4"/>
      <c r="AY30" s="13">
        <f t="shared" si="0"/>
        <v>-0.98062103550033441</v>
      </c>
      <c r="AZ30" s="36">
        <f t="shared" si="1"/>
        <v>0.3750780896963109</v>
      </c>
      <c r="BA30" s="23">
        <f t="shared" si="2"/>
        <v>0.27276857402269261</v>
      </c>
    </row>
    <row r="31" spans="1:53" x14ac:dyDescent="0.2">
      <c r="A31" s="1">
        <v>115</v>
      </c>
      <c r="B31" s="1">
        <v>0</v>
      </c>
      <c r="D31">
        <f>-D29/D30</f>
        <v>102.63565756174185</v>
      </c>
      <c r="E31" s="32" t="s">
        <v>44</v>
      </c>
      <c r="F31" s="15" t="str">
        <f ca="1">_xlfn.FORMULATEXT(D31)</f>
        <v>=-D29/D30</v>
      </c>
      <c r="H31" s="8">
        <f t="shared" si="3"/>
        <v>-3.3461449878589882</v>
      </c>
      <c r="I31" s="39">
        <f t="shared" si="4"/>
        <v>3.5219865743556115E-2</v>
      </c>
      <c r="J31" s="8">
        <f t="shared" si="5"/>
        <v>3.4021628553523871E-2</v>
      </c>
      <c r="K31" s="8">
        <f t="shared" si="6"/>
        <v>0.96597837144647614</v>
      </c>
      <c r="L31" s="10">
        <f t="shared" si="10"/>
        <v>-3.4613834827235047E-2</v>
      </c>
      <c r="M31" s="44">
        <f t="shared" si="11"/>
        <v>31</v>
      </c>
      <c r="N31" s="1">
        <f t="shared" si="7"/>
        <v>115</v>
      </c>
      <c r="O31" s="1" t="str">
        <f t="shared" si="8"/>
        <v/>
      </c>
      <c r="P31" s="73"/>
      <c r="Q31" s="39">
        <f t="shared" si="20"/>
        <v>134</v>
      </c>
      <c r="R31" s="13">
        <f t="shared" si="13"/>
        <v>-0.34981464820469554</v>
      </c>
      <c r="S31" s="8">
        <f t="shared" si="21"/>
        <v>0.70481871702690158</v>
      </c>
      <c r="T31" s="23">
        <f t="shared" si="22"/>
        <v>0.41342736913169387</v>
      </c>
      <c r="U31" s="8">
        <f t="shared" si="16"/>
        <v>0.45705192496326941</v>
      </c>
      <c r="V31" s="8">
        <f t="shared" si="17"/>
        <v>0.29596823457544325</v>
      </c>
      <c r="W31" s="8">
        <f t="shared" si="18"/>
        <v>0.41530591820368878</v>
      </c>
      <c r="X31" s="8">
        <f t="shared" si="19"/>
        <v>0.15619694397283532</v>
      </c>
      <c r="AR31" s="1"/>
      <c r="AS31" s="1">
        <v>131</v>
      </c>
      <c r="AT31" s="1">
        <v>0</v>
      </c>
      <c r="AU31" s="27">
        <f>SUM(AT$2:AT31)/COUNTA(AS$2:AS31)</f>
        <v>0.1</v>
      </c>
      <c r="AV31" s="27">
        <f t="shared" si="9"/>
        <v>0.16140350877192983</v>
      </c>
      <c r="AW31" s="4"/>
      <c r="AY31" s="13">
        <f t="shared" si="0"/>
        <v>-0.82291943867642559</v>
      </c>
      <c r="AZ31" s="36">
        <f t="shared" si="1"/>
        <v>0.43914771640072364</v>
      </c>
      <c r="BA31" s="23">
        <f t="shared" si="2"/>
        <v>0.30514429574958596</v>
      </c>
    </row>
    <row r="32" spans="1:53" x14ac:dyDescent="0.2">
      <c r="A32" s="1">
        <v>190</v>
      </c>
      <c r="B32" s="1">
        <v>1</v>
      </c>
      <c r="D32" s="28">
        <f>(0.5-D29)/D30</f>
        <v>136.9472321610379</v>
      </c>
      <c r="E32" s="57" t="s">
        <v>45</v>
      </c>
      <c r="F32" s="15" t="str">
        <f ca="1">_xlfn.FORMULATEXT(D32)</f>
        <v>=(0.5-D29)/D30</v>
      </c>
      <c r="H32" s="8">
        <f t="shared" si="3"/>
        <v>8.4814747739342771</v>
      </c>
      <c r="I32" s="39">
        <f t="shared" si="4"/>
        <v>4824.5597878604931</v>
      </c>
      <c r="J32" s="8">
        <f t="shared" si="5"/>
        <v>0.99979277015642498</v>
      </c>
      <c r="K32" s="8">
        <f t="shared" si="6"/>
        <v>0.99979277015642498</v>
      </c>
      <c r="L32" s="10">
        <f t="shared" si="10"/>
        <v>-2.0725131864595431E-4</v>
      </c>
      <c r="M32" s="44">
        <f t="shared" si="11"/>
        <v>32</v>
      </c>
      <c r="N32" s="1" t="str">
        <f t="shared" si="7"/>
        <v/>
      </c>
      <c r="O32" s="1">
        <f t="shared" si="8"/>
        <v>190</v>
      </c>
      <c r="P32" s="73"/>
      <c r="Q32" s="39">
        <f t="shared" si="20"/>
        <v>136</v>
      </c>
      <c r="R32" s="13">
        <f t="shared" si="13"/>
        <v>-3.4411454556874332E-2</v>
      </c>
      <c r="S32" s="8">
        <f t="shared" si="21"/>
        <v>0.96617388619394851</v>
      </c>
      <c r="T32" s="23">
        <f t="shared" si="22"/>
        <v>0.49139798518239636</v>
      </c>
      <c r="U32" s="8">
        <f t="shared" si="16"/>
        <v>0.48619660898545114</v>
      </c>
      <c r="V32" s="8">
        <f t="shared" si="17"/>
        <v>0.35400122174709869</v>
      </c>
      <c r="W32" s="8">
        <f t="shared" si="18"/>
        <v>0.47254229554470589</v>
      </c>
      <c r="X32" s="8">
        <f t="shared" si="19"/>
        <v>0.27669172932330827</v>
      </c>
      <c r="AR32" s="1"/>
      <c r="AS32" s="1">
        <v>133</v>
      </c>
      <c r="AT32" s="1">
        <v>0</v>
      </c>
      <c r="AU32" s="27">
        <f>SUM(AT$2:AT32)/COUNTA(AS$2:AS32)</f>
        <v>9.6774193548387094E-2</v>
      </c>
      <c r="AV32" s="27">
        <f t="shared" si="9"/>
        <v>0.15619694397283532</v>
      </c>
      <c r="AW32" s="4"/>
      <c r="AY32" s="13">
        <f t="shared" si="0"/>
        <v>-0.50751624502860437</v>
      </c>
      <c r="AZ32" s="36">
        <f t="shared" si="1"/>
        <v>0.60198891646614816</v>
      </c>
      <c r="BA32" s="23">
        <f t="shared" si="2"/>
        <v>0.3757759559248916</v>
      </c>
    </row>
    <row r="33" spans="1:53" x14ac:dyDescent="0.2">
      <c r="A33" s="1">
        <v>145</v>
      </c>
      <c r="B33" s="1">
        <v>1</v>
      </c>
      <c r="D33">
        <f>-(D29-1)/D30</f>
        <v>171.25880676033395</v>
      </c>
      <c r="E33" s="32" t="s">
        <v>46</v>
      </c>
      <c r="F33" s="15" t="str">
        <f ca="1">_xlfn.FORMULATEXT(D33)</f>
        <v>=-(D29-1)/D30</v>
      </c>
      <c r="H33" s="8">
        <f t="shared" si="3"/>
        <v>1.3849029168583193</v>
      </c>
      <c r="I33" s="39">
        <f t="shared" si="4"/>
        <v>3.9944380933926062</v>
      </c>
      <c r="J33" s="8">
        <f t="shared" si="5"/>
        <v>0.79977727598166637</v>
      </c>
      <c r="K33" s="8">
        <f t="shared" si="6"/>
        <v>0.79977727598166637</v>
      </c>
      <c r="L33" s="10">
        <f t="shared" si="10"/>
        <v>-0.22342199509899968</v>
      </c>
      <c r="M33" s="44">
        <f t="shared" si="11"/>
        <v>33</v>
      </c>
      <c r="N33" s="1" t="str">
        <f t="shared" si="7"/>
        <v/>
      </c>
      <c r="O33" s="1">
        <f t="shared" si="8"/>
        <v>145</v>
      </c>
      <c r="P33" s="73"/>
      <c r="Q33" s="39">
        <f t="shared" si="20"/>
        <v>138</v>
      </c>
      <c r="R33" s="13">
        <f t="shared" si="13"/>
        <v>0.28099173909094688</v>
      </c>
      <c r="S33" s="8">
        <f t="shared" si="21"/>
        <v>1.3244426627896821</v>
      </c>
      <c r="T33" s="23">
        <f t="shared" si="22"/>
        <v>0.56978934520163682</v>
      </c>
      <c r="U33" s="8">
        <f t="shared" si="16"/>
        <v>0.51534129300763287</v>
      </c>
      <c r="V33" s="8">
        <f t="shared" si="17"/>
        <v>0.41203420891875409</v>
      </c>
      <c r="W33" s="8">
        <f t="shared" si="18"/>
        <v>0.53050968022899669</v>
      </c>
      <c r="X33" s="8">
        <f t="shared" si="19"/>
        <v>0.3053579895685159</v>
      </c>
      <c r="AR33" s="1"/>
      <c r="AS33" s="1">
        <v>135</v>
      </c>
      <c r="AT33" s="1">
        <v>1</v>
      </c>
      <c r="AU33" s="27">
        <f>SUM(AT$2:AT33)/COUNTA(AS$2:AS33)</f>
        <v>0.125</v>
      </c>
      <c r="AV33" s="27">
        <f t="shared" si="9"/>
        <v>0.2017543859649123</v>
      </c>
      <c r="AW33" s="4"/>
      <c r="AY33" s="13">
        <f t="shared" si="0"/>
        <v>-0.19211305138078316</v>
      </c>
      <c r="AZ33" s="36">
        <f t="shared" si="1"/>
        <v>0.82521357168439535</v>
      </c>
      <c r="BA33" s="23">
        <f t="shared" si="2"/>
        <v>0.45211891062307208</v>
      </c>
    </row>
    <row r="34" spans="1:53" x14ac:dyDescent="0.2">
      <c r="A34" s="1">
        <v>180</v>
      </c>
      <c r="B34" s="1">
        <v>1</v>
      </c>
      <c r="D34"/>
      <c r="E34"/>
      <c r="H34" s="8">
        <f t="shared" si="3"/>
        <v>6.9044588056951746</v>
      </c>
      <c r="I34" s="39">
        <f t="shared" si="4"/>
        <v>996.7089541157028</v>
      </c>
      <c r="J34" s="8">
        <f t="shared" si="5"/>
        <v>0.99899770369317142</v>
      </c>
      <c r="K34" s="8">
        <f t="shared" si="6"/>
        <v>0.99899770369317142</v>
      </c>
      <c r="L34" s="10">
        <f t="shared" si="10"/>
        <v>-1.0027989416593413E-3</v>
      </c>
      <c r="M34" s="44">
        <f t="shared" si="11"/>
        <v>34</v>
      </c>
      <c r="N34" s="1" t="str">
        <f t="shared" si="7"/>
        <v/>
      </c>
      <c r="O34" s="1">
        <f t="shared" si="8"/>
        <v>180</v>
      </c>
      <c r="P34" s="73"/>
      <c r="Q34" s="39">
        <f t="shared" si="20"/>
        <v>140</v>
      </c>
      <c r="R34" s="13">
        <f t="shared" si="13"/>
        <v>0.59639493273876809</v>
      </c>
      <c r="S34" s="8">
        <f t="shared" si="21"/>
        <v>1.8155617659338168</v>
      </c>
      <c r="T34" s="23">
        <f t="shared" si="22"/>
        <v>0.64483109122333993</v>
      </c>
      <c r="U34" s="8">
        <f t="shared" si="16"/>
        <v>0.54448597702981461</v>
      </c>
      <c r="V34" s="8">
        <f t="shared" si="17"/>
        <v>0.47006719609040959</v>
      </c>
      <c r="W34" s="8">
        <f t="shared" si="18"/>
        <v>0.58766537359506654</v>
      </c>
      <c r="X34" s="8">
        <f t="shared" si="19"/>
        <v>0.3936670945656825</v>
      </c>
      <c r="AR34" s="1"/>
      <c r="AS34" s="1">
        <v>135</v>
      </c>
      <c r="AT34" s="1">
        <v>1</v>
      </c>
      <c r="AU34" s="27">
        <f>SUM(AT$2:AT34)/COUNTA(AS$2:AS34)</f>
        <v>0.15151515151515152</v>
      </c>
      <c r="AV34" s="27">
        <f t="shared" si="9"/>
        <v>0.24455077086656035</v>
      </c>
      <c r="AW34" s="4"/>
      <c r="AY34" s="13">
        <f t="shared" ref="AY34:AY65" si="23">D$3+E$3*AS34</f>
        <v>-0.19211305138078316</v>
      </c>
      <c r="AZ34" s="36">
        <f t="shared" si="1"/>
        <v>0.82521357168439535</v>
      </c>
      <c r="BA34" s="23">
        <f t="shared" si="2"/>
        <v>0.45211891062307208</v>
      </c>
    </row>
    <row r="35" spans="1:53" ht="11.25" customHeight="1" x14ac:dyDescent="0.2">
      <c r="A35" s="1">
        <v>125</v>
      </c>
      <c r="B35" s="1">
        <v>0</v>
      </c>
      <c r="D35" s="31">
        <f>(D32-D26)/D26</f>
        <v>5.3518986591656681E-3</v>
      </c>
      <c r="E35" s="6" t="s">
        <v>47</v>
      </c>
      <c r="H35" s="8">
        <f t="shared" ref="H35:H66" si="24">D$3+E$3*A35</f>
        <v>-1.7691290196198857</v>
      </c>
      <c r="I35" s="39">
        <f t="shared" si="4"/>
        <v>0.17048141014340779</v>
      </c>
      <c r="J35" s="8">
        <f t="shared" si="5"/>
        <v>0.14565067729056913</v>
      </c>
      <c r="K35" s="8">
        <f t="shared" ref="K35:K66" si="25">IF(B35=1,J35,1-J35)</f>
        <v>0.85434932270943087</v>
      </c>
      <c r="L35" s="10">
        <f t="shared" si="10"/>
        <v>-0.15741512584356088</v>
      </c>
      <c r="M35" s="44">
        <f t="shared" si="11"/>
        <v>35</v>
      </c>
      <c r="N35" s="1">
        <f t="shared" ref="N35:N66" si="26">IF($B35=1,"",$A35)</f>
        <v>125</v>
      </c>
      <c r="O35" s="1" t="str">
        <f t="shared" ref="O35:O66" si="27">IF($B35=1,$A35,"")</f>
        <v/>
      </c>
      <c r="P35" s="75"/>
      <c r="Q35" s="39">
        <f t="shared" si="20"/>
        <v>142</v>
      </c>
      <c r="R35" s="13">
        <f t="shared" si="13"/>
        <v>0.91179812638658575</v>
      </c>
      <c r="S35" s="8">
        <f t="shared" si="21"/>
        <v>2.4887936779216733</v>
      </c>
      <c r="T35" s="23">
        <f t="shared" si="22"/>
        <v>0.7133679740569483</v>
      </c>
      <c r="U35" s="8">
        <f t="shared" si="16"/>
        <v>0.57363066105199634</v>
      </c>
      <c r="V35" s="8">
        <f t="shared" si="17"/>
        <v>0.52810018326206498</v>
      </c>
      <c r="W35" s="8">
        <f t="shared" si="18"/>
        <v>0.64255121266535209</v>
      </c>
      <c r="X35" s="8">
        <f t="shared" si="19"/>
        <v>0.42272347535505433</v>
      </c>
      <c r="AR35" s="1"/>
      <c r="AS35" s="1">
        <v>135</v>
      </c>
      <c r="AT35" s="1">
        <v>0</v>
      </c>
      <c r="AU35" s="27">
        <f>SUM(AT$2:AT35)/COUNTA(AS$2:AS35)</f>
        <v>0.14705882352941177</v>
      </c>
      <c r="AV35" s="27">
        <f t="shared" si="9"/>
        <v>0.23735810113519093</v>
      </c>
      <c r="AW35" s="4"/>
      <c r="AY35" s="13">
        <f t="shared" si="23"/>
        <v>-0.19211305138078316</v>
      </c>
      <c r="AZ35" s="36">
        <f t="shared" si="1"/>
        <v>0.82521357168439535</v>
      </c>
      <c r="BA35" s="23">
        <f t="shared" si="2"/>
        <v>0.45211891062307208</v>
      </c>
    </row>
    <row r="36" spans="1:53" x14ac:dyDescent="0.2">
      <c r="A36" s="1">
        <v>150</v>
      </c>
      <c r="B36" s="1">
        <v>1</v>
      </c>
      <c r="D36" s="31">
        <f>-(D25-D30)/D30</f>
        <v>-1.7054950519258518</v>
      </c>
      <c r="E36" s="6" t="s">
        <v>34</v>
      </c>
      <c r="H36" s="8">
        <f t="shared" si="24"/>
        <v>2.173410900977867</v>
      </c>
      <c r="I36" s="39">
        <f t="shared" si="4"/>
        <v>8.7882086863287334</v>
      </c>
      <c r="J36" s="8">
        <f t="shared" si="5"/>
        <v>0.89783626074536926</v>
      </c>
      <c r="K36" s="8">
        <f t="shared" si="25"/>
        <v>0.89783626074536926</v>
      </c>
      <c r="L36" s="10">
        <f t="shared" si="10"/>
        <v>-0.10776756500551112</v>
      </c>
      <c r="M36" s="44">
        <f t="shared" si="11"/>
        <v>36</v>
      </c>
      <c r="N36" s="1" t="str">
        <f t="shared" si="26"/>
        <v/>
      </c>
      <c r="O36" s="1">
        <f t="shared" si="27"/>
        <v>150</v>
      </c>
      <c r="P36" s="75"/>
      <c r="Q36" s="39">
        <f t="shared" si="20"/>
        <v>144</v>
      </c>
      <c r="R36" s="13">
        <f t="shared" si="13"/>
        <v>1.227201320034407</v>
      </c>
      <c r="S36" s="8">
        <f t="shared" si="21"/>
        <v>3.4116679958156304</v>
      </c>
      <c r="T36" s="23">
        <f t="shared" si="22"/>
        <v>0.77332836447609432</v>
      </c>
      <c r="U36" s="8">
        <f t="shared" si="16"/>
        <v>0.60277534507417807</v>
      </c>
      <c r="V36" s="8">
        <f t="shared" si="17"/>
        <v>0.58613317043372049</v>
      </c>
      <c r="W36" s="8">
        <f t="shared" si="18"/>
        <v>0.69393618355115272</v>
      </c>
      <c r="X36" s="8">
        <f t="shared" si="19"/>
        <v>0.42272347535505433</v>
      </c>
      <c r="AR36" s="1"/>
      <c r="AS36" s="1">
        <v>136</v>
      </c>
      <c r="AT36" s="1">
        <v>1</v>
      </c>
      <c r="AU36" s="27">
        <f>SUM(AT$2:AT36)/COUNTA(AS$2:AS36)</f>
        <v>0.17142857142857143</v>
      </c>
      <c r="AV36" s="27">
        <f t="shared" si="9"/>
        <v>0.27669172932330827</v>
      </c>
      <c r="AW36" s="4"/>
      <c r="AY36" s="13">
        <f t="shared" si="23"/>
        <v>-3.4411454556874332E-2</v>
      </c>
      <c r="AZ36" s="36">
        <f t="shared" si="1"/>
        <v>0.96617388619394851</v>
      </c>
      <c r="BA36" s="23">
        <f t="shared" si="2"/>
        <v>0.49139798518239636</v>
      </c>
    </row>
    <row r="37" spans="1:53" x14ac:dyDescent="0.2">
      <c r="A37" s="1">
        <v>150</v>
      </c>
      <c r="B37" s="1">
        <v>1</v>
      </c>
      <c r="D37" s="33"/>
      <c r="E37" s="33"/>
      <c r="F37" s="33"/>
      <c r="G37" s="33"/>
      <c r="H37" s="8">
        <f t="shared" si="24"/>
        <v>2.173410900977867</v>
      </c>
      <c r="I37" s="39">
        <f t="shared" si="4"/>
        <v>8.7882086863287334</v>
      </c>
      <c r="J37" s="8">
        <f t="shared" si="5"/>
        <v>0.89783626074536926</v>
      </c>
      <c r="K37" s="8">
        <f t="shared" si="25"/>
        <v>0.89783626074536926</v>
      </c>
      <c r="L37" s="10">
        <f t="shared" si="10"/>
        <v>-0.10776756500551112</v>
      </c>
      <c r="M37" s="44">
        <f t="shared" si="11"/>
        <v>37</v>
      </c>
      <c r="N37" s="1" t="str">
        <f t="shared" si="26"/>
        <v/>
      </c>
      <c r="O37" s="1">
        <f t="shared" si="27"/>
        <v>150</v>
      </c>
      <c r="P37" s="75"/>
      <c r="Q37" s="39">
        <f t="shared" si="20"/>
        <v>146</v>
      </c>
      <c r="R37" s="13">
        <f t="shared" si="13"/>
        <v>1.5426045136822282</v>
      </c>
      <c r="S37" s="8">
        <f t="shared" si="21"/>
        <v>4.6767550950195549</v>
      </c>
      <c r="T37" s="23">
        <f t="shared" si="22"/>
        <v>0.82384302594322945</v>
      </c>
      <c r="U37" s="8">
        <f t="shared" si="16"/>
        <v>0.63192002909635969</v>
      </c>
      <c r="V37" s="8">
        <f t="shared" si="17"/>
        <v>0.64416615760537588</v>
      </c>
      <c r="W37" s="8">
        <f t="shared" si="18"/>
        <v>0.74091281242877116</v>
      </c>
      <c r="X37" s="8">
        <f t="shared" si="19"/>
        <v>0.51511758118701012</v>
      </c>
      <c r="AR37" s="1"/>
      <c r="AS37" s="1">
        <v>138</v>
      </c>
      <c r="AT37" s="1">
        <v>1</v>
      </c>
      <c r="AU37" s="27">
        <f>SUM(AT$2:AT37)/COUNTA(AS$2:AS37)</f>
        <v>0.19444444444444445</v>
      </c>
      <c r="AV37" s="27">
        <f t="shared" si="9"/>
        <v>0.31384015594541914</v>
      </c>
      <c r="AW37" s="4"/>
      <c r="AY37" s="13">
        <f t="shared" si="23"/>
        <v>0.28099173909094688</v>
      </c>
      <c r="AZ37" s="36">
        <f t="shared" si="1"/>
        <v>1.3244426627896821</v>
      </c>
      <c r="BA37" s="23">
        <f t="shared" si="2"/>
        <v>0.56978934520163682</v>
      </c>
    </row>
    <row r="38" spans="1:53" x14ac:dyDescent="0.2">
      <c r="A38" s="1">
        <v>150</v>
      </c>
      <c r="B38" s="1">
        <v>1</v>
      </c>
      <c r="D38" s="28" t="s">
        <v>62</v>
      </c>
      <c r="H38" s="8">
        <f t="shared" si="24"/>
        <v>2.173410900977867</v>
      </c>
      <c r="I38" s="39">
        <f t="shared" si="4"/>
        <v>8.7882086863287334</v>
      </c>
      <c r="J38" s="8">
        <f t="shared" si="5"/>
        <v>0.89783626074536926</v>
      </c>
      <c r="K38" s="8">
        <f t="shared" si="25"/>
        <v>0.89783626074536926</v>
      </c>
      <c r="L38" s="10">
        <f t="shared" si="10"/>
        <v>-0.10776756500551112</v>
      </c>
      <c r="M38" s="44">
        <f t="shared" si="11"/>
        <v>38</v>
      </c>
      <c r="N38" s="1" t="str">
        <f t="shared" si="26"/>
        <v/>
      </c>
      <c r="O38" s="1">
        <f t="shared" si="27"/>
        <v>150</v>
      </c>
      <c r="P38" s="75"/>
      <c r="Q38" s="39">
        <f t="shared" si="20"/>
        <v>148</v>
      </c>
      <c r="R38" s="13">
        <f t="shared" si="13"/>
        <v>1.8580077073300494</v>
      </c>
      <c r="S38" s="8">
        <f t="shared" si="21"/>
        <v>6.4109515479282138</v>
      </c>
      <c r="T38" s="23">
        <f t="shared" si="22"/>
        <v>0.86506456107116803</v>
      </c>
      <c r="U38" s="8">
        <f t="shared" si="16"/>
        <v>0.66106471311854142</v>
      </c>
      <c r="V38" s="8">
        <f t="shared" si="17"/>
        <v>0.70219914477703138</v>
      </c>
      <c r="W38" s="8">
        <f t="shared" si="18"/>
        <v>0.78293456455627219</v>
      </c>
      <c r="X38" s="8">
        <f t="shared" si="19"/>
        <v>0.53801169590643272</v>
      </c>
      <c r="AD38" s="11"/>
      <c r="AR38" s="1"/>
      <c r="AS38" s="1">
        <v>138</v>
      </c>
      <c r="AT38" s="1">
        <v>0</v>
      </c>
      <c r="AU38" s="27">
        <f>SUM(AT$2:AT38)/COUNTA(AS$2:AS38)</f>
        <v>0.1891891891891892</v>
      </c>
      <c r="AV38" s="27">
        <f t="shared" si="9"/>
        <v>0.3053579895685159</v>
      </c>
      <c r="AW38" s="4"/>
      <c r="AY38" s="13">
        <f t="shared" si="23"/>
        <v>0.28099173909094688</v>
      </c>
      <c r="AZ38" s="36">
        <f t="shared" si="1"/>
        <v>1.3244426627896821</v>
      </c>
      <c r="BA38" s="23">
        <f t="shared" si="2"/>
        <v>0.56978934520163682</v>
      </c>
    </row>
    <row r="39" spans="1:53" x14ac:dyDescent="0.2">
      <c r="A39" s="1">
        <v>142</v>
      </c>
      <c r="B39" s="1">
        <v>1</v>
      </c>
      <c r="D39" s="3">
        <f>AVERAGEIF(B3:B94,"=1",A3:A94)</f>
        <v>158.26315789473685</v>
      </c>
      <c r="E39" t="str">
        <f ca="1">_xlfn.FORMULATEXT(D39)</f>
        <v>=AVERAGEIF(B3:B94,"=1",A3:A94)</v>
      </c>
      <c r="H39" s="8">
        <f t="shared" si="24"/>
        <v>0.91179812638658575</v>
      </c>
      <c r="I39" s="39">
        <f t="shared" si="4"/>
        <v>2.4887936779216733</v>
      </c>
      <c r="J39" s="8">
        <f t="shared" si="5"/>
        <v>0.7133679740569483</v>
      </c>
      <c r="K39" s="8">
        <f t="shared" si="25"/>
        <v>0.7133679740569483</v>
      </c>
      <c r="L39" s="10">
        <f t="shared" si="10"/>
        <v>-0.33775789905135672</v>
      </c>
      <c r="M39" s="44">
        <f t="shared" si="11"/>
        <v>39</v>
      </c>
      <c r="N39" s="1" t="str">
        <f t="shared" si="26"/>
        <v/>
      </c>
      <c r="O39" s="1">
        <f t="shared" si="27"/>
        <v>142</v>
      </c>
      <c r="P39" s="73"/>
      <c r="Q39" s="39">
        <f t="shared" si="20"/>
        <v>150</v>
      </c>
      <c r="R39" s="13">
        <f t="shared" si="13"/>
        <v>2.173410900977867</v>
      </c>
      <c r="S39" s="8">
        <f t="shared" si="21"/>
        <v>8.7882086863287334</v>
      </c>
      <c r="T39" s="23">
        <f t="shared" si="22"/>
        <v>0.89783626074536926</v>
      </c>
      <c r="U39" s="8">
        <f t="shared" si="16"/>
        <v>0.69020939714072316</v>
      </c>
      <c r="V39" s="8">
        <f t="shared" si="17"/>
        <v>0.76023213194868677</v>
      </c>
      <c r="W39" s="8">
        <f t="shared" si="18"/>
        <v>0.81979839776803631</v>
      </c>
      <c r="X39" s="8">
        <f t="shared" si="19"/>
        <v>0.64004839685420456</v>
      </c>
      <c r="AD39" s="8"/>
      <c r="AR39" s="1"/>
      <c r="AS39" s="1">
        <v>140</v>
      </c>
      <c r="AT39" s="1">
        <v>1</v>
      </c>
      <c r="AU39" s="27">
        <f>SUM(AT$2:AT39)/COUNTA(AS$2:AS39)</f>
        <v>0.21052631578947367</v>
      </c>
      <c r="AV39" s="27">
        <f t="shared" si="9"/>
        <v>0.33979686057248382</v>
      </c>
      <c r="AW39" s="4"/>
      <c r="AY39" s="13">
        <f t="shared" si="23"/>
        <v>0.59639493273876809</v>
      </c>
      <c r="AZ39" s="36">
        <f t="shared" si="1"/>
        <v>1.8155617659338168</v>
      </c>
      <c r="BA39" s="23">
        <f t="shared" si="2"/>
        <v>0.64483109122333993</v>
      </c>
    </row>
    <row r="40" spans="1:53" x14ac:dyDescent="0.2">
      <c r="A40" s="1">
        <v>155</v>
      </c>
      <c r="B40" s="1">
        <v>1</v>
      </c>
      <c r="D40" s="4">
        <f>AVERAGEIF(B3:B94,"=0",A3:A94)</f>
        <v>123.8</v>
      </c>
      <c r="E40" t="str">
        <f ca="1">_xlfn.FORMULATEXT(D40)</f>
        <v>=AVERAGEIF(B3:B94,"=0",A3:A94)</v>
      </c>
      <c r="H40" s="8">
        <f t="shared" si="24"/>
        <v>2.9619188850974183</v>
      </c>
      <c r="I40" s="39">
        <f t="shared" si="4"/>
        <v>19.335037897374924</v>
      </c>
      <c r="J40" s="8">
        <f t="shared" si="5"/>
        <v>0.95082379462252731</v>
      </c>
      <c r="K40" s="8">
        <f t="shared" si="25"/>
        <v>0.95082379462252731</v>
      </c>
      <c r="L40" s="10">
        <f t="shared" si="10"/>
        <v>-5.0426517912598619E-2</v>
      </c>
      <c r="M40" s="44">
        <f t="shared" si="11"/>
        <v>40</v>
      </c>
      <c r="N40" s="1" t="str">
        <f t="shared" si="26"/>
        <v/>
      </c>
      <c r="O40" s="1">
        <f t="shared" si="27"/>
        <v>155</v>
      </c>
      <c r="P40" s="75"/>
      <c r="Q40" s="39">
        <f t="shared" si="20"/>
        <v>152</v>
      </c>
      <c r="R40" s="13">
        <f t="shared" si="13"/>
        <v>2.4888140946256883</v>
      </c>
      <c r="S40" s="8">
        <f t="shared" si="21"/>
        <v>12.046981066238576</v>
      </c>
      <c r="T40" s="23">
        <f t="shared" si="22"/>
        <v>0.9233539165173098</v>
      </c>
      <c r="U40" s="8">
        <f t="shared" si="16"/>
        <v>0.71935408116290489</v>
      </c>
      <c r="V40" s="8">
        <f t="shared" si="17"/>
        <v>0.81826511912034228</v>
      </c>
      <c r="W40" s="8">
        <f t="shared" si="18"/>
        <v>0.85158844411855716</v>
      </c>
      <c r="X40" s="8">
        <f t="shared" si="19"/>
        <v>0.64004839685420456</v>
      </c>
      <c r="AD40" s="8"/>
      <c r="AR40" s="1"/>
      <c r="AS40" s="1">
        <v>140</v>
      </c>
      <c r="AT40" s="1">
        <v>1</v>
      </c>
      <c r="AU40" s="27">
        <f>SUM(AT$2:AT40)/COUNTA(AS$2:AS40)</f>
        <v>0.23076923076923078</v>
      </c>
      <c r="AV40" s="27">
        <f t="shared" si="9"/>
        <v>0.37246963562753038</v>
      </c>
      <c r="AW40" s="4"/>
      <c r="AY40" s="13">
        <f t="shared" si="23"/>
        <v>0.59639493273876809</v>
      </c>
      <c r="AZ40" s="36">
        <f t="shared" si="1"/>
        <v>1.8155617659338168</v>
      </c>
      <c r="BA40" s="23">
        <f t="shared" si="2"/>
        <v>0.64483109122333993</v>
      </c>
    </row>
    <row r="41" spans="1:53" x14ac:dyDescent="0.2">
      <c r="A41" s="1">
        <v>150</v>
      </c>
      <c r="B41" s="1">
        <v>0</v>
      </c>
      <c r="D41" s="4">
        <f>D39-D40</f>
        <v>34.463157894736852</v>
      </c>
      <c r="E41" s="6" t="s">
        <v>29</v>
      </c>
      <c r="F41" s="1" t="str">
        <f ca="1">_xlfn.FORMULATEXT(D41)</f>
        <v>=D39-D40</v>
      </c>
      <c r="H41" s="8">
        <f t="shared" si="24"/>
        <v>2.173410900977867</v>
      </c>
      <c r="I41" s="39">
        <f t="shared" si="4"/>
        <v>8.7882086863287334</v>
      </c>
      <c r="J41" s="8">
        <f t="shared" si="5"/>
        <v>0.89783626074536926</v>
      </c>
      <c r="K41" s="8">
        <f t="shared" si="25"/>
        <v>0.10216373925463074</v>
      </c>
      <c r="L41" s="10">
        <f t="shared" si="10"/>
        <v>-2.2811784659833778</v>
      </c>
      <c r="M41" s="44">
        <f t="shared" si="11"/>
        <v>41</v>
      </c>
      <c r="N41" s="1">
        <f t="shared" si="26"/>
        <v>150</v>
      </c>
      <c r="O41" s="1" t="str">
        <f t="shared" si="27"/>
        <v/>
      </c>
      <c r="P41" s="73"/>
      <c r="Q41" s="39">
        <f t="shared" si="20"/>
        <v>154</v>
      </c>
      <c r="R41" s="13">
        <f t="shared" si="13"/>
        <v>2.8042172882735095</v>
      </c>
      <c r="S41" s="8">
        <f t="shared" si="21"/>
        <v>16.514145031180245</v>
      </c>
      <c r="T41" s="23">
        <f t="shared" si="22"/>
        <v>0.94290329341114221</v>
      </c>
      <c r="U41" s="8">
        <f t="shared" si="16"/>
        <v>0.74849876518508662</v>
      </c>
      <c r="V41" s="8">
        <f t="shared" si="17"/>
        <v>0.87629810629199767</v>
      </c>
      <c r="W41" s="8">
        <f t="shared" si="18"/>
        <v>0.87860077453100782</v>
      </c>
      <c r="X41" s="8">
        <f t="shared" si="19"/>
        <v>0.65655664585191797</v>
      </c>
      <c r="AD41" s="8"/>
      <c r="AR41" s="1"/>
      <c r="AS41" s="1">
        <v>140</v>
      </c>
      <c r="AT41" s="1">
        <v>1</v>
      </c>
      <c r="AU41" s="27">
        <f>SUM(AT$2:AT41)/COUNTA(AS$2:AS41)</f>
        <v>0.25</v>
      </c>
      <c r="AV41" s="27">
        <f t="shared" si="9"/>
        <v>0.40350877192982459</v>
      </c>
      <c r="AW41" s="4"/>
      <c r="AY41" s="13">
        <f t="shared" si="23"/>
        <v>0.59639493273876809</v>
      </c>
      <c r="AZ41" s="36">
        <f t="shared" si="1"/>
        <v>1.8155617659338168</v>
      </c>
      <c r="BA41" s="23">
        <f t="shared" si="2"/>
        <v>0.64483109122333993</v>
      </c>
    </row>
    <row r="42" spans="1:53" x14ac:dyDescent="0.2">
      <c r="A42" s="1">
        <v>110</v>
      </c>
      <c r="B42" s="1">
        <v>0</v>
      </c>
      <c r="D42" s="46">
        <f>1/D41</f>
        <v>2.9016493585827724E-2</v>
      </c>
      <c r="E42" s="57" t="s">
        <v>16</v>
      </c>
      <c r="F42" s="15" t="str">
        <f t="shared" ref="F42:F43" ca="1" si="28">_xlfn.FORMULATEXT(D42)</f>
        <v>=1/D41</v>
      </c>
      <c r="H42" s="8">
        <f t="shared" si="24"/>
        <v>-4.1346529719785394</v>
      </c>
      <c r="I42" s="39">
        <f t="shared" si="4"/>
        <v>1.6008219466736834E-2</v>
      </c>
      <c r="J42" s="8">
        <f t="shared" si="5"/>
        <v>1.5755994055972229E-2</v>
      </c>
      <c r="K42" s="8">
        <f t="shared" si="25"/>
        <v>0.98424400594402772</v>
      </c>
      <c r="L42" s="10">
        <f t="shared" si="10"/>
        <v>-1.5881439149881892E-2</v>
      </c>
      <c r="M42" s="44">
        <f t="shared" si="11"/>
        <v>42</v>
      </c>
      <c r="N42" s="1">
        <f t="shared" si="26"/>
        <v>110</v>
      </c>
      <c r="O42" s="1" t="str">
        <f t="shared" si="27"/>
        <v/>
      </c>
      <c r="P42" s="73"/>
      <c r="Q42" s="39">
        <f t="shared" si="20"/>
        <v>156</v>
      </c>
      <c r="R42" s="13">
        <f t="shared" si="13"/>
        <v>3.1196204819213307</v>
      </c>
      <c r="S42" s="8">
        <f t="shared" si="21"/>
        <v>22.637786563402106</v>
      </c>
      <c r="T42" s="23">
        <f t="shared" si="22"/>
        <v>0.95769485449419023</v>
      </c>
      <c r="U42" s="8">
        <f t="shared" si="16"/>
        <v>0.77764344920726836</v>
      </c>
      <c r="V42" s="8">
        <f t="shared" si="17"/>
        <v>0.93433109346365317</v>
      </c>
      <c r="W42" s="8">
        <f t="shared" si="18"/>
        <v>0.90126662173537919</v>
      </c>
      <c r="X42" s="8">
        <f t="shared" si="19"/>
        <v>0.79532163742690065</v>
      </c>
      <c r="AD42" s="8"/>
      <c r="AR42" s="1"/>
      <c r="AS42" s="1">
        <v>140</v>
      </c>
      <c r="AT42" s="1">
        <v>0</v>
      </c>
      <c r="AU42" s="27">
        <f>SUM(AT$2:AT42)/COUNTA(AS$2:AS42)</f>
        <v>0.24390243902439024</v>
      </c>
      <c r="AV42" s="27">
        <f t="shared" si="9"/>
        <v>0.3936670945656825</v>
      </c>
      <c r="AW42" s="4"/>
      <c r="AY42" s="13">
        <f t="shared" si="23"/>
        <v>0.59639493273876809</v>
      </c>
      <c r="AZ42" s="36">
        <f t="shared" si="1"/>
        <v>1.8155617659338168</v>
      </c>
      <c r="BA42" s="23">
        <f t="shared" si="2"/>
        <v>0.64483109122333993</v>
      </c>
    </row>
    <row r="43" spans="1:53" x14ac:dyDescent="0.2">
      <c r="A43" s="1">
        <v>170</v>
      </c>
      <c r="B43" s="1">
        <v>1</v>
      </c>
      <c r="D43" s="28">
        <f>AVERAGE(D39:D40)</f>
        <v>141.03157894736842</v>
      </c>
      <c r="E43" s="57" t="s">
        <v>87</v>
      </c>
      <c r="F43" s="15" t="str">
        <f t="shared" ca="1" si="28"/>
        <v>=AVERAGE(D39:D40)</v>
      </c>
      <c r="H43" s="8">
        <f t="shared" si="24"/>
        <v>5.3274428374560721</v>
      </c>
      <c r="I43" s="39">
        <f t="shared" si="4"/>
        <v>205.91075308343636</v>
      </c>
      <c r="J43" s="8">
        <f t="shared" si="5"/>
        <v>0.99516699840342882</v>
      </c>
      <c r="K43" s="8">
        <f t="shared" si="25"/>
        <v>0.99516699840342882</v>
      </c>
      <c r="L43" s="10">
        <f t="shared" si="10"/>
        <v>-4.8447183153113131E-3</v>
      </c>
      <c r="M43" s="44">
        <f t="shared" si="11"/>
        <v>43</v>
      </c>
      <c r="N43" s="1" t="str">
        <f t="shared" si="26"/>
        <v/>
      </c>
      <c r="O43" s="1">
        <f t="shared" si="27"/>
        <v>170</v>
      </c>
      <c r="P43" s="73"/>
      <c r="Q43" s="39">
        <f t="shared" si="20"/>
        <v>158</v>
      </c>
      <c r="R43" s="13">
        <f t="shared" si="13"/>
        <v>3.4350236755691483</v>
      </c>
      <c r="S43" s="8">
        <f t="shared" si="21"/>
        <v>31.032147260579166</v>
      </c>
      <c r="T43" s="23">
        <f t="shared" si="22"/>
        <v>0.96878136230253087</v>
      </c>
      <c r="U43" s="8">
        <f t="shared" si="16"/>
        <v>0.80678813322945009</v>
      </c>
      <c r="V43" s="8">
        <f t="shared" si="17"/>
        <v>0.99236408063530868</v>
      </c>
      <c r="W43" s="8">
        <f t="shared" si="18"/>
        <v>0.92008555327103358</v>
      </c>
      <c r="X43" s="8">
        <f t="shared" si="19"/>
        <v>0.80701754385964919</v>
      </c>
      <c r="AD43" s="8"/>
      <c r="AR43" s="1"/>
      <c r="AS43" s="1">
        <v>142</v>
      </c>
      <c r="AT43" s="1">
        <v>1</v>
      </c>
      <c r="AU43" s="27">
        <f>SUM(AT$2:AT43)/COUNTA(AS$2:AS43)</f>
        <v>0.26190476190476192</v>
      </c>
      <c r="AV43" s="27">
        <f t="shared" si="9"/>
        <v>0.42272347535505433</v>
      </c>
      <c r="AW43" s="4"/>
      <c r="AY43" s="13">
        <f t="shared" si="23"/>
        <v>0.91179812638658575</v>
      </c>
      <c r="AZ43" s="36">
        <f t="shared" si="1"/>
        <v>2.4887936779216733</v>
      </c>
      <c r="BA43" s="23">
        <f t="shared" si="2"/>
        <v>0.7133679740569483</v>
      </c>
    </row>
    <row r="44" spans="1:53" x14ac:dyDescent="0.2">
      <c r="A44" s="1">
        <v>170</v>
      </c>
      <c r="B44" s="1">
        <v>1</v>
      </c>
      <c r="H44" s="8">
        <f t="shared" si="24"/>
        <v>5.3274428374560721</v>
      </c>
      <c r="I44" s="39">
        <f t="shared" si="4"/>
        <v>205.91075308343636</v>
      </c>
      <c r="J44" s="8">
        <f t="shared" si="5"/>
        <v>0.99516699840342882</v>
      </c>
      <c r="K44" s="8">
        <f t="shared" si="25"/>
        <v>0.99516699840342882</v>
      </c>
      <c r="L44" s="10">
        <f t="shared" si="10"/>
        <v>-4.8447183153113131E-3</v>
      </c>
      <c r="M44" s="44">
        <f t="shared" si="11"/>
        <v>44</v>
      </c>
      <c r="N44" s="1" t="str">
        <f t="shared" si="26"/>
        <v/>
      </c>
      <c r="O44" s="1">
        <f t="shared" si="27"/>
        <v>170</v>
      </c>
      <c r="P44" s="73"/>
      <c r="Q44" s="39">
        <f t="shared" si="20"/>
        <v>160</v>
      </c>
      <c r="R44" s="13">
        <f t="shared" si="13"/>
        <v>3.7504268692169695</v>
      </c>
      <c r="S44" s="8">
        <f t="shared" si="21"/>
        <v>42.539236815631121</v>
      </c>
      <c r="T44" s="23">
        <f t="shared" si="22"/>
        <v>0.97703221110111449</v>
      </c>
      <c r="U44" s="8">
        <f t="shared" si="16"/>
        <v>0.83593281725163182</v>
      </c>
      <c r="V44" s="8">
        <f t="shared" si="17"/>
        <v>1.0503970678069641</v>
      </c>
      <c r="W44" s="8">
        <f t="shared" si="18"/>
        <v>0.93557393937579592</v>
      </c>
      <c r="X44" s="8">
        <f t="shared" si="19"/>
        <v>0.85064011379800852</v>
      </c>
      <c r="AD44" s="8"/>
      <c r="AR44" s="1"/>
      <c r="AS44" s="1">
        <v>145</v>
      </c>
      <c r="AT44" s="1">
        <v>1</v>
      </c>
      <c r="AU44" s="27">
        <f>SUM(AT$2:AT44)/COUNTA(AS$2:AS44)</f>
        <v>0.27906976744186046</v>
      </c>
      <c r="AV44" s="27">
        <f t="shared" si="9"/>
        <v>0.45042839657282741</v>
      </c>
      <c r="AW44" s="4"/>
      <c r="AY44" s="13">
        <f t="shared" si="23"/>
        <v>1.3849029168583193</v>
      </c>
      <c r="AZ44" s="36">
        <f t="shared" si="1"/>
        <v>3.9944380933926062</v>
      </c>
      <c r="BA44" s="23">
        <f t="shared" si="2"/>
        <v>0.79977727598166637</v>
      </c>
    </row>
    <row r="45" spans="1:53" x14ac:dyDescent="0.2">
      <c r="A45" s="1">
        <v>185</v>
      </c>
      <c r="B45" s="1">
        <v>1</v>
      </c>
      <c r="D45" s="42" t="s">
        <v>66</v>
      </c>
      <c r="H45" s="8">
        <f t="shared" si="24"/>
        <v>7.6929667898147258</v>
      </c>
      <c r="I45" s="39">
        <f t="shared" si="4"/>
        <v>2192.8707075947523</v>
      </c>
      <c r="J45" s="8">
        <f t="shared" si="5"/>
        <v>0.99954418462467354</v>
      </c>
      <c r="K45" s="8">
        <f t="shared" si="25"/>
        <v>0.99954418462467354</v>
      </c>
      <c r="L45" s="10">
        <f t="shared" si="10"/>
        <v>-4.5591929073334787E-4</v>
      </c>
      <c r="M45" s="44">
        <f t="shared" si="11"/>
        <v>45</v>
      </c>
      <c r="N45" s="1" t="str">
        <f t="shared" si="26"/>
        <v/>
      </c>
      <c r="O45" s="1">
        <f t="shared" si="27"/>
        <v>185</v>
      </c>
      <c r="P45" s="73"/>
      <c r="Q45" s="39">
        <f t="shared" si="20"/>
        <v>162</v>
      </c>
      <c r="R45" s="13">
        <f t="shared" si="13"/>
        <v>4.0658300628647908</v>
      </c>
      <c r="S45" s="8">
        <f t="shared" si="21"/>
        <v>58.313292137379904</v>
      </c>
      <c r="T45" s="23">
        <f t="shared" si="22"/>
        <v>0.98314037268941634</v>
      </c>
      <c r="U45" s="8">
        <f t="shared" si="16"/>
        <v>0.86507750127381355</v>
      </c>
      <c r="V45" s="8">
        <f t="shared" si="17"/>
        <v>1.1084300549786195</v>
      </c>
      <c r="W45" s="8">
        <f t="shared" si="18"/>
        <v>0.94822939379949545</v>
      </c>
      <c r="X45" s="8">
        <f t="shared" si="19"/>
        <v>0.85064011379800852</v>
      </c>
      <c r="AD45" s="8"/>
      <c r="AR45" s="1"/>
      <c r="AS45" s="1">
        <v>145</v>
      </c>
      <c r="AT45" s="1">
        <v>1</v>
      </c>
      <c r="AU45" s="27">
        <f>SUM(AT$2:AT45)/COUNTA(AS$2:AS45)</f>
        <v>0.29545454545454547</v>
      </c>
      <c r="AV45" s="27">
        <f t="shared" si="9"/>
        <v>0.47687400318979273</v>
      </c>
      <c r="AW45" s="4"/>
      <c r="AY45" s="13">
        <f t="shared" si="23"/>
        <v>1.3849029168583193</v>
      </c>
      <c r="AZ45" s="36">
        <f t="shared" si="1"/>
        <v>3.9944380933926062</v>
      </c>
      <c r="BA45" s="23">
        <f t="shared" si="2"/>
        <v>0.79977727598166637</v>
      </c>
    </row>
    <row r="46" spans="1:53" x14ac:dyDescent="0.2">
      <c r="A46" s="1">
        <v>130</v>
      </c>
      <c r="B46" s="1">
        <v>1</v>
      </c>
      <c r="D46" s="31">
        <f>(D43-D26)/D26</f>
        <v>3.5335752524801353E-2</v>
      </c>
      <c r="E46" s="6" t="s">
        <v>36</v>
      </c>
      <c r="H46" s="8">
        <f t="shared" si="24"/>
        <v>-0.98062103550033441</v>
      </c>
      <c r="I46" s="39">
        <f t="shared" si="4"/>
        <v>0.3750780896963109</v>
      </c>
      <c r="J46" s="8">
        <f t="shared" si="5"/>
        <v>0.27276857402269261</v>
      </c>
      <c r="K46" s="8">
        <f t="shared" si="25"/>
        <v>0.27276857402269261</v>
      </c>
      <c r="L46" s="10">
        <f t="shared" si="10"/>
        <v>-1.2991315575126436</v>
      </c>
      <c r="M46" s="44">
        <f t="shared" si="11"/>
        <v>46</v>
      </c>
      <c r="N46" s="1" t="str">
        <f t="shared" si="26"/>
        <v/>
      </c>
      <c r="O46" s="1">
        <f t="shared" si="27"/>
        <v>130</v>
      </c>
      <c r="P46" s="73"/>
      <c r="Q46" s="39">
        <f t="shared" si="20"/>
        <v>164</v>
      </c>
      <c r="R46" s="13">
        <f t="shared" si="13"/>
        <v>4.381233256512612</v>
      </c>
      <c r="S46" s="8">
        <f t="shared" si="21"/>
        <v>79.936554918397476</v>
      </c>
      <c r="T46" s="23">
        <f t="shared" si="22"/>
        <v>0.98764464337519398</v>
      </c>
      <c r="U46" s="8">
        <f t="shared" si="16"/>
        <v>0.89422218529599529</v>
      </c>
      <c r="V46" s="8">
        <f t="shared" si="17"/>
        <v>1.1664630421502751</v>
      </c>
      <c r="W46" s="8">
        <f t="shared" si="18"/>
        <v>0.958509136888268</v>
      </c>
      <c r="X46" s="8">
        <f t="shared" si="19"/>
        <v>0.86081871345029237</v>
      </c>
      <c r="AD46" s="8"/>
      <c r="AR46" s="1"/>
      <c r="AS46" s="1">
        <v>145</v>
      </c>
      <c r="AT46" s="1">
        <v>1</v>
      </c>
      <c r="AU46" s="27">
        <f>SUM(AT$2:AT46)/COUNTA(AS$2:AS46)</f>
        <v>0.31111111111111112</v>
      </c>
      <c r="AV46" s="27">
        <f t="shared" si="9"/>
        <v>0.50214424951267056</v>
      </c>
      <c r="AW46" s="4"/>
      <c r="AY46" s="13">
        <f t="shared" si="23"/>
        <v>1.3849029168583193</v>
      </c>
      <c r="AZ46" s="36">
        <f t="shared" si="1"/>
        <v>3.9944380933926062</v>
      </c>
      <c r="BA46" s="23">
        <f t="shared" si="2"/>
        <v>0.79977727598166637</v>
      </c>
    </row>
    <row r="47" spans="1:53" x14ac:dyDescent="0.2">
      <c r="A47" s="1">
        <v>150</v>
      </c>
      <c r="B47" s="1">
        <v>1</v>
      </c>
      <c r="D47" s="31">
        <f>(D42-D25)/D25</f>
        <v>-0.26401522444373016</v>
      </c>
      <c r="E47" s="6" t="s">
        <v>37</v>
      </c>
      <c r="H47" s="8">
        <f t="shared" si="24"/>
        <v>2.173410900977867</v>
      </c>
      <c r="I47" s="39">
        <f t="shared" si="4"/>
        <v>8.7882086863287334</v>
      </c>
      <c r="J47" s="8">
        <f t="shared" si="5"/>
        <v>0.89783626074536926</v>
      </c>
      <c r="K47" s="8">
        <f t="shared" si="25"/>
        <v>0.89783626074536926</v>
      </c>
      <c r="L47" s="10">
        <f t="shared" si="10"/>
        <v>-0.10776756500551112</v>
      </c>
      <c r="M47" s="44">
        <f t="shared" si="11"/>
        <v>47</v>
      </c>
      <c r="N47" s="1" t="str">
        <f t="shared" si="26"/>
        <v/>
      </c>
      <c r="O47" s="1">
        <f t="shared" si="27"/>
        <v>150</v>
      </c>
      <c r="P47" s="73"/>
      <c r="Q47" s="39">
        <f t="shared" si="20"/>
        <v>166</v>
      </c>
      <c r="R47" s="13">
        <f t="shared" si="13"/>
        <v>4.6966364501604332</v>
      </c>
      <c r="S47" s="8">
        <f t="shared" ref="S47:S51" si="29">EXP(R47)</f>
        <v>109.57798090301887</v>
      </c>
      <c r="T47" s="23">
        <f t="shared" ref="T47:T51" si="30">S47/(1+S47)</f>
        <v>0.9909566082520801</v>
      </c>
      <c r="U47" s="8">
        <f t="shared" si="16"/>
        <v>0.92336686931817702</v>
      </c>
      <c r="V47" s="8">
        <f t="shared" si="17"/>
        <v>1.2244960293219305</v>
      </c>
      <c r="W47" s="8">
        <f t="shared" si="18"/>
        <v>0.96681912602443421</v>
      </c>
      <c r="X47" s="8">
        <f t="shared" si="19"/>
        <v>0.87072945521698986</v>
      </c>
      <c r="AD47" s="8"/>
      <c r="AR47" s="1"/>
      <c r="AS47" s="1">
        <v>145</v>
      </c>
      <c r="AT47" s="1">
        <v>0</v>
      </c>
      <c r="AU47" s="27">
        <f>SUM(AT$2:AT47)/COUNTA(AS$2:AS47)</f>
        <v>0.30434782608695654</v>
      </c>
      <c r="AV47" s="27">
        <f t="shared" si="9"/>
        <v>0.49122807017543862</v>
      </c>
      <c r="AW47" s="4"/>
      <c r="AY47" s="13">
        <f t="shared" si="23"/>
        <v>1.3849029168583193</v>
      </c>
      <c r="AZ47" s="36">
        <f t="shared" si="1"/>
        <v>3.9944380933926062</v>
      </c>
      <c r="BA47" s="23">
        <f t="shared" si="2"/>
        <v>0.79977727598166637</v>
      </c>
    </row>
    <row r="48" spans="1:53" x14ac:dyDescent="0.2">
      <c r="A48" s="1">
        <v>190</v>
      </c>
      <c r="B48" s="1">
        <v>1</v>
      </c>
      <c r="D48" s="38"/>
      <c r="E48" s="38"/>
      <c r="F48" s="38"/>
      <c r="G48" s="38"/>
      <c r="H48" s="8">
        <f t="shared" si="24"/>
        <v>8.4814747739342771</v>
      </c>
      <c r="I48" s="39">
        <f t="shared" si="4"/>
        <v>4824.5597878604931</v>
      </c>
      <c r="J48" s="8">
        <f t="shared" si="5"/>
        <v>0.99979277015642498</v>
      </c>
      <c r="K48" s="8">
        <f t="shared" si="25"/>
        <v>0.99979277015642498</v>
      </c>
      <c r="L48" s="10">
        <f t="shared" si="10"/>
        <v>-2.0725131864595431E-4</v>
      </c>
      <c r="M48" s="44">
        <f t="shared" si="11"/>
        <v>48</v>
      </c>
      <c r="N48" s="1" t="str">
        <f t="shared" si="26"/>
        <v/>
      </c>
      <c r="O48" s="1">
        <f t="shared" si="27"/>
        <v>190</v>
      </c>
      <c r="P48" s="73"/>
      <c r="Q48" s="39">
        <f t="shared" si="20"/>
        <v>168</v>
      </c>
      <c r="R48" s="13">
        <f t="shared" si="13"/>
        <v>5.0120396438082508</v>
      </c>
      <c r="S48" s="8">
        <f t="shared" si="29"/>
        <v>150.21080044092349</v>
      </c>
      <c r="T48" s="23">
        <f t="shared" si="30"/>
        <v>0.99338671578297288</v>
      </c>
      <c r="U48" s="8">
        <f t="shared" si="16"/>
        <v>0.95251155334035875</v>
      </c>
      <c r="V48" s="8">
        <f t="shared" si="17"/>
        <v>1.2825290164935859</v>
      </c>
      <c r="W48" s="8">
        <f t="shared" si="18"/>
        <v>0.973510746859517</v>
      </c>
      <c r="X48" s="8">
        <f t="shared" si="19"/>
        <v>0.87072945521698986</v>
      </c>
      <c r="AD48" s="8"/>
      <c r="AR48" s="1"/>
      <c r="AS48" s="1">
        <v>145</v>
      </c>
      <c r="AT48" s="1">
        <v>1</v>
      </c>
      <c r="AU48" s="27">
        <f>SUM(AT$2:AT48)/COUNTA(AS$2:AS48)</f>
        <v>0.31914893617021278</v>
      </c>
      <c r="AV48" s="27">
        <f t="shared" si="9"/>
        <v>0.51511758118701012</v>
      </c>
      <c r="AW48" s="4"/>
      <c r="AY48" s="13">
        <f t="shared" si="23"/>
        <v>1.3849029168583193</v>
      </c>
      <c r="AZ48" s="36">
        <f t="shared" si="1"/>
        <v>3.9944380933926062</v>
      </c>
      <c r="BA48" s="23">
        <f t="shared" si="2"/>
        <v>0.79977727598166637</v>
      </c>
    </row>
    <row r="49" spans="1:53" x14ac:dyDescent="0.2">
      <c r="A49" s="1">
        <v>135</v>
      </c>
      <c r="B49" s="1">
        <v>1</v>
      </c>
      <c r="E49" s="11" t="s">
        <v>89</v>
      </c>
      <c r="F49"/>
      <c r="H49" s="8">
        <f t="shared" si="24"/>
        <v>-0.19211305138078316</v>
      </c>
      <c r="I49" s="39">
        <f t="shared" si="4"/>
        <v>0.82521357168439535</v>
      </c>
      <c r="J49" s="8">
        <f t="shared" si="5"/>
        <v>0.45211891062307208</v>
      </c>
      <c r="K49" s="8">
        <f t="shared" si="25"/>
        <v>0.45211891062307208</v>
      </c>
      <c r="L49" s="10">
        <f t="shared" si="10"/>
        <v>-0.79381005714876962</v>
      </c>
      <c r="M49" s="44">
        <f t="shared" si="11"/>
        <v>49</v>
      </c>
      <c r="N49" s="1" t="str">
        <f t="shared" si="26"/>
        <v/>
      </c>
      <c r="O49" s="1">
        <f t="shared" si="27"/>
        <v>135</v>
      </c>
      <c r="P49" s="73"/>
      <c r="Q49" s="39">
        <f t="shared" si="20"/>
        <v>170</v>
      </c>
      <c r="R49" s="13">
        <f t="shared" si="13"/>
        <v>5.3274428374560721</v>
      </c>
      <c r="S49" s="8">
        <f t="shared" si="29"/>
        <v>205.91075308343636</v>
      </c>
      <c r="T49" s="23">
        <f t="shared" si="30"/>
        <v>0.99516699840342882</v>
      </c>
      <c r="U49" s="8">
        <f t="shared" si="16"/>
        <v>0.98165623736254037</v>
      </c>
      <c r="V49" s="8">
        <f t="shared" si="17"/>
        <v>1.3405620036652413</v>
      </c>
      <c r="W49" s="8">
        <f t="shared" si="18"/>
        <v>0.97888233813480985</v>
      </c>
      <c r="X49" s="8">
        <f t="shared" si="19"/>
        <v>0.90789473684210531</v>
      </c>
      <c r="AD49" s="8"/>
      <c r="AR49" s="1"/>
      <c r="AS49" s="1">
        <v>148</v>
      </c>
      <c r="AT49" s="1">
        <v>1</v>
      </c>
      <c r="AU49" s="27">
        <f>SUM(AT$2:AT49)/COUNTA(AS$2:AS49)</f>
        <v>0.33333333333333331</v>
      </c>
      <c r="AV49" s="27">
        <f t="shared" si="9"/>
        <v>0.53801169590643272</v>
      </c>
      <c r="AW49" s="4"/>
      <c r="AY49" s="13">
        <f t="shared" si="23"/>
        <v>1.8580077073300494</v>
      </c>
      <c r="AZ49" s="36">
        <f t="shared" si="1"/>
        <v>6.4109515479282138</v>
      </c>
      <c r="BA49" s="23">
        <f t="shared" si="2"/>
        <v>0.86506456107116803</v>
      </c>
    </row>
    <row r="50" spans="1:53" x14ac:dyDescent="0.2">
      <c r="A50" s="1">
        <v>170</v>
      </c>
      <c r="B50" s="1">
        <v>1</v>
      </c>
      <c r="D50" s="5" t="s">
        <v>27</v>
      </c>
      <c r="E50" s="4">
        <f>AVERAGE(B:B)</f>
        <v>0.61956521739130432</v>
      </c>
      <c r="F50" t="str">
        <f ca="1">_xlfn.FORMULATEXT(E50)</f>
        <v>=AVERAGE(B:B)</v>
      </c>
      <c r="G50"/>
      <c r="H50" s="8">
        <f t="shared" si="24"/>
        <v>5.3274428374560721</v>
      </c>
      <c r="I50" s="39">
        <f t="shared" si="4"/>
        <v>205.91075308343636</v>
      </c>
      <c r="J50" s="8">
        <f t="shared" si="5"/>
        <v>0.99516699840342882</v>
      </c>
      <c r="K50" s="8">
        <f t="shared" si="25"/>
        <v>0.99516699840342882</v>
      </c>
      <c r="L50" s="10">
        <f t="shared" si="10"/>
        <v>-4.8447183153113131E-3</v>
      </c>
      <c r="M50" s="44">
        <f t="shared" si="11"/>
        <v>50</v>
      </c>
      <c r="N50" s="1" t="str">
        <f t="shared" si="26"/>
        <v/>
      </c>
      <c r="O50" s="1">
        <f t="shared" si="27"/>
        <v>170</v>
      </c>
      <c r="P50" s="73"/>
      <c r="Q50" s="39">
        <f t="shared" si="20"/>
        <v>172</v>
      </c>
      <c r="R50" s="13">
        <f t="shared" si="13"/>
        <v>5.6428460311038933</v>
      </c>
      <c r="S50" s="8">
        <f t="shared" si="29"/>
        <v>282.26491111778023</v>
      </c>
      <c r="T50" s="23">
        <f t="shared" si="30"/>
        <v>0.99646973571116193</v>
      </c>
      <c r="U50" s="8">
        <f t="shared" si="16"/>
        <v>1.0108009213847222</v>
      </c>
      <c r="V50" s="8">
        <f t="shared" si="17"/>
        <v>1.3985949908368966</v>
      </c>
      <c r="W50" s="8">
        <f t="shared" si="18"/>
        <v>0.98318347393896111</v>
      </c>
      <c r="X50" s="8">
        <f t="shared" si="19"/>
        <v>0.90789473684210531</v>
      </c>
      <c r="AD50" s="8"/>
      <c r="AR50" s="1"/>
      <c r="AS50" s="1">
        <v>150</v>
      </c>
      <c r="AT50" s="1">
        <v>1</v>
      </c>
      <c r="AU50" s="27">
        <f>SUM(AT$2:AT50)/COUNTA(AS$2:AS50)</f>
        <v>0.34693877551020408</v>
      </c>
      <c r="AV50" s="27">
        <f t="shared" si="9"/>
        <v>0.55997135696383815</v>
      </c>
      <c r="AW50" s="4"/>
      <c r="AY50" s="13">
        <f t="shared" si="23"/>
        <v>2.173410900977867</v>
      </c>
      <c r="AZ50" s="36">
        <f t="shared" si="1"/>
        <v>8.7882086863287334</v>
      </c>
      <c r="BA50" s="23">
        <f t="shared" si="2"/>
        <v>0.89783626074536926</v>
      </c>
    </row>
    <row r="51" spans="1:53" x14ac:dyDescent="0.2">
      <c r="A51" s="1">
        <v>155</v>
      </c>
      <c r="B51" s="1">
        <v>1</v>
      </c>
      <c r="D51" s="5" t="s">
        <v>28</v>
      </c>
      <c r="E51" s="4">
        <f>STDEV(B:B)</f>
        <v>0.48815398634167767</v>
      </c>
      <c r="F51" t="str">
        <f ca="1">_xlfn.FORMULATEXT(E51)</f>
        <v>=STDEV(B:B)</v>
      </c>
      <c r="H51" s="8">
        <f t="shared" si="24"/>
        <v>2.9619188850974183</v>
      </c>
      <c r="I51" s="39">
        <f t="shared" si="4"/>
        <v>19.335037897374924</v>
      </c>
      <c r="J51" s="8">
        <f t="shared" si="5"/>
        <v>0.95082379462252731</v>
      </c>
      <c r="K51" s="8">
        <f t="shared" si="25"/>
        <v>0.95082379462252731</v>
      </c>
      <c r="L51" s="10">
        <f t="shared" si="10"/>
        <v>-5.0426517912598619E-2</v>
      </c>
      <c r="M51" s="44">
        <f t="shared" si="11"/>
        <v>51</v>
      </c>
      <c r="N51" s="1" t="str">
        <f t="shared" si="26"/>
        <v/>
      </c>
      <c r="O51" s="1">
        <f t="shared" si="27"/>
        <v>155</v>
      </c>
      <c r="P51" s="73"/>
      <c r="Q51" s="39">
        <f t="shared" si="20"/>
        <v>174</v>
      </c>
      <c r="R51" s="13">
        <f t="shared" si="13"/>
        <v>5.9582492247517145</v>
      </c>
      <c r="S51" s="8">
        <f t="shared" si="29"/>
        <v>386.93209973373354</v>
      </c>
      <c r="T51" s="23">
        <f t="shared" si="30"/>
        <v>0.99742222930072977</v>
      </c>
      <c r="U51" s="8">
        <f t="shared" si="16"/>
        <v>1.0399456054069038</v>
      </c>
      <c r="V51" s="8">
        <f t="shared" si="17"/>
        <v>1.456627978008552</v>
      </c>
      <c r="W51" s="8">
        <f t="shared" si="18"/>
        <v>0.98662055041422314</v>
      </c>
      <c r="X51" s="8">
        <f t="shared" si="19"/>
        <v>0.90789473684210531</v>
      </c>
      <c r="AD51" s="8"/>
      <c r="AR51" s="1"/>
      <c r="AS51" s="1">
        <v>150</v>
      </c>
      <c r="AT51" s="1">
        <v>1</v>
      </c>
      <c r="AU51" s="27">
        <f>SUM(AT$2:AT51)/COUNTA(AS$2:AS51)</f>
        <v>0.36</v>
      </c>
      <c r="AV51" s="27">
        <f t="shared" si="9"/>
        <v>0.58105263157894738</v>
      </c>
      <c r="AW51" s="4"/>
      <c r="AY51" s="13">
        <f t="shared" si="23"/>
        <v>2.173410900977867</v>
      </c>
      <c r="AZ51" s="36">
        <f t="shared" si="1"/>
        <v>8.7882086863287334</v>
      </c>
      <c r="BA51" s="23">
        <f t="shared" si="2"/>
        <v>0.89783626074536926</v>
      </c>
    </row>
    <row r="52" spans="1:53" x14ac:dyDescent="0.2">
      <c r="A52" s="1">
        <v>140</v>
      </c>
      <c r="B52" s="1">
        <v>1</v>
      </c>
      <c r="D52" s="52" t="s">
        <v>75</v>
      </c>
      <c r="E52" s="52" t="s">
        <v>76</v>
      </c>
      <c r="F52" s="52" t="s">
        <v>77</v>
      </c>
      <c r="G52" s="52" t="s">
        <v>78</v>
      </c>
      <c r="H52" s="8">
        <f t="shared" si="24"/>
        <v>0.59639493273876809</v>
      </c>
      <c r="I52" s="39">
        <f t="shared" si="4"/>
        <v>1.8155617659338168</v>
      </c>
      <c r="J52" s="8">
        <f t="shared" si="5"/>
        <v>0.64483109122333993</v>
      </c>
      <c r="K52" s="8">
        <f t="shared" si="25"/>
        <v>0.64483109122333993</v>
      </c>
      <c r="L52" s="10">
        <f t="shared" si="10"/>
        <v>-0.43876687055370811</v>
      </c>
      <c r="M52" s="44">
        <f t="shared" si="11"/>
        <v>52</v>
      </c>
      <c r="N52" s="1" t="str">
        <f t="shared" si="26"/>
        <v/>
      </c>
      <c r="O52" s="1">
        <f t="shared" si="27"/>
        <v>140</v>
      </c>
      <c r="P52" s="73"/>
      <c r="Q52" s="5"/>
      <c r="R52" s="5"/>
      <c r="S52" s="5"/>
      <c r="AD52" s="8"/>
      <c r="AR52" s="1"/>
      <c r="AS52" s="1">
        <v>150</v>
      </c>
      <c r="AT52" s="1">
        <v>1</v>
      </c>
      <c r="AU52" s="27">
        <f>SUM(AT$2:AT52)/COUNTA(AS$2:AS52)</f>
        <v>0.37254901960784315</v>
      </c>
      <c r="AV52" s="27">
        <f t="shared" si="9"/>
        <v>0.60130718954248374</v>
      </c>
      <c r="AW52" s="4"/>
      <c r="AY52" s="13">
        <f t="shared" si="23"/>
        <v>2.173410900977867</v>
      </c>
      <c r="AZ52" s="36">
        <f t="shared" si="1"/>
        <v>8.7882086863287334</v>
      </c>
      <c r="BA52" s="23">
        <f t="shared" si="2"/>
        <v>0.89783626074536926</v>
      </c>
    </row>
    <row r="53" spans="1:53" x14ac:dyDescent="0.2">
      <c r="A53" s="1">
        <v>118</v>
      </c>
      <c r="B53" s="1">
        <v>0</v>
      </c>
      <c r="D53" s="42" t="s">
        <v>67</v>
      </c>
      <c r="H53" s="8">
        <f t="shared" si="24"/>
        <v>-2.8730401973872581</v>
      </c>
      <c r="I53" s="39">
        <f t="shared" si="4"/>
        <v>5.6526812414484491E-2</v>
      </c>
      <c r="J53" s="8">
        <f t="shared" si="5"/>
        <v>5.3502487348431382E-2</v>
      </c>
      <c r="K53" s="8">
        <f t="shared" si="25"/>
        <v>0.94649751265156867</v>
      </c>
      <c r="L53" s="10">
        <f t="shared" si="10"/>
        <v>-5.4986936279615969E-2</v>
      </c>
      <c r="M53" s="44">
        <f t="shared" si="11"/>
        <v>53</v>
      </c>
      <c r="N53" s="1">
        <f t="shared" si="26"/>
        <v>118</v>
      </c>
      <c r="O53" s="1" t="str">
        <f t="shared" si="27"/>
        <v/>
      </c>
      <c r="P53" s="73"/>
      <c r="Q53" s="11" t="s">
        <v>81</v>
      </c>
      <c r="R53" s="11" t="str">
        <f>+R10</f>
        <v>Logit</v>
      </c>
      <c r="S53" s="11" t="str">
        <f>+S10</f>
        <v>Odds</v>
      </c>
      <c r="T53" s="11" t="str">
        <f>+T10</f>
        <v>Prob Y=1</v>
      </c>
      <c r="AD53" s="8"/>
      <c r="AR53" s="1"/>
      <c r="AS53" s="1">
        <v>150</v>
      </c>
      <c r="AT53" s="1">
        <v>1</v>
      </c>
      <c r="AU53" s="27">
        <f>SUM(AT$2:AT53)/COUNTA(AS$2:AS53)</f>
        <v>0.38461538461538464</v>
      </c>
      <c r="AV53" s="27">
        <f t="shared" si="9"/>
        <v>0.62078272604588403</v>
      </c>
      <c r="AW53" s="4"/>
      <c r="AY53" s="13">
        <f t="shared" si="23"/>
        <v>2.173410900977867</v>
      </c>
      <c r="AZ53" s="36">
        <f t="shared" si="1"/>
        <v>8.7882086863287334</v>
      </c>
      <c r="BA53" s="23">
        <f t="shared" si="2"/>
        <v>0.89783626074536926</v>
      </c>
    </row>
    <row r="54" spans="1:53" x14ac:dyDescent="0.2">
      <c r="A54" s="1">
        <v>110</v>
      </c>
      <c r="B54" s="1">
        <v>0</v>
      </c>
      <c r="D54" s="46">
        <f>STDEV(B3:B94)</f>
        <v>0.48815398634167767</v>
      </c>
      <c r="E54" s="32" t="s">
        <v>79</v>
      </c>
      <c r="F54" s="53" t="str">
        <f ca="1">_xlfn.FORMULATEXT(D54)</f>
        <v>=STDEV(B3:B94)</v>
      </c>
      <c r="H54" s="8">
        <f t="shared" si="24"/>
        <v>-4.1346529719785394</v>
      </c>
      <c r="I54" s="39">
        <f t="shared" si="4"/>
        <v>1.6008219466736834E-2</v>
      </c>
      <c r="J54" s="8">
        <f t="shared" si="5"/>
        <v>1.5755994055972229E-2</v>
      </c>
      <c r="K54" s="8">
        <f t="shared" si="25"/>
        <v>0.98424400594402772</v>
      </c>
      <c r="L54" s="10">
        <f t="shared" si="10"/>
        <v>-1.5881439149881892E-2</v>
      </c>
      <c r="M54" s="44">
        <f t="shared" si="11"/>
        <v>54</v>
      </c>
      <c r="N54" s="1">
        <f t="shared" si="26"/>
        <v>110</v>
      </c>
      <c r="O54" s="1" t="str">
        <f t="shared" si="27"/>
        <v/>
      </c>
      <c r="P54" s="73"/>
      <c r="Q54" s="10">
        <f>AVERAGE(A:A)</f>
        <v>145.15217391304347</v>
      </c>
      <c r="R54" s="13">
        <f>D$3+E$3*Q54</f>
        <v>1.408900985940214</v>
      </c>
      <c r="S54" s="8">
        <f>EXP(R54)</f>
        <v>4.091456364200722</v>
      </c>
      <c r="T54" s="22">
        <f>S54/(1+S54)</f>
        <v>0.80359254239489408</v>
      </c>
      <c r="U54" s="6" t="s">
        <v>55</v>
      </c>
      <c r="V54" s="5" t="s">
        <v>24</v>
      </c>
      <c r="AD54" s="8"/>
      <c r="AR54" s="1"/>
      <c r="AS54" s="1">
        <v>150</v>
      </c>
      <c r="AT54" s="1">
        <v>0</v>
      </c>
      <c r="AU54" s="27">
        <f>SUM(AT$2:AT54)/COUNTA(AS$2:AS54)</f>
        <v>0.37735849056603776</v>
      </c>
      <c r="AV54" s="27">
        <f t="shared" si="9"/>
        <v>0.60906984442237677</v>
      </c>
      <c r="AW54" s="4"/>
      <c r="AY54" s="13">
        <f t="shared" si="23"/>
        <v>2.173410900977867</v>
      </c>
      <c r="AZ54" s="36">
        <f t="shared" si="1"/>
        <v>8.7882086863287334</v>
      </c>
      <c r="BA54" s="23">
        <f t="shared" si="2"/>
        <v>0.89783626074536926</v>
      </c>
    </row>
    <row r="55" spans="1:53" x14ac:dyDescent="0.2">
      <c r="A55" s="1">
        <v>165</v>
      </c>
      <c r="B55" s="1">
        <v>1</v>
      </c>
      <c r="D55" s="34">
        <f>STDEV(A3:A94)</f>
        <v>23.739397764290043</v>
      </c>
      <c r="E55" s="32" t="s">
        <v>80</v>
      </c>
      <c r="F55" s="53" t="str">
        <f ca="1">_xlfn.FORMULATEXT(D55)</f>
        <v>=STDEV(A3:A94)</v>
      </c>
      <c r="H55" s="8">
        <f t="shared" si="24"/>
        <v>4.5389348533365208</v>
      </c>
      <c r="I55" s="39">
        <f t="shared" si="4"/>
        <v>93.591058805322035</v>
      </c>
      <c r="J55" s="8">
        <f t="shared" si="5"/>
        <v>0.98942817627131019</v>
      </c>
      <c r="K55" s="8">
        <f t="shared" si="25"/>
        <v>0.98942817627131019</v>
      </c>
      <c r="L55" s="10">
        <f t="shared" si="10"/>
        <v>-1.062810245443351E-2</v>
      </c>
      <c r="M55" s="44">
        <f t="shared" si="11"/>
        <v>55</v>
      </c>
      <c r="N55" s="1" t="str">
        <f t="shared" si="26"/>
        <v/>
      </c>
      <c r="O55" s="1">
        <f t="shared" si="27"/>
        <v>165</v>
      </c>
      <c r="P55" s="73"/>
      <c r="Q55" s="10">
        <f>MEDIAN(A:A)</f>
        <v>145</v>
      </c>
      <c r="R55" s="13">
        <f>D$3+E$3*Q55</f>
        <v>1.3849029168583193</v>
      </c>
      <c r="S55" s="8">
        <f>EXP(R55)</f>
        <v>3.9944380933926062</v>
      </c>
      <c r="T55" s="22">
        <f>S55/(1+S55)</f>
        <v>0.79977727598166637</v>
      </c>
      <c r="U55" s="6" t="s">
        <v>56</v>
      </c>
      <c r="V55" s="5" t="s">
        <v>25</v>
      </c>
      <c r="AD55" s="8"/>
      <c r="AR55" s="1"/>
      <c r="AS55" s="1">
        <v>150</v>
      </c>
      <c r="AT55" s="1">
        <v>1</v>
      </c>
      <c r="AU55" s="27">
        <f>SUM(AT$2:AT55)/COUNTA(AS$2:AS55)</f>
        <v>0.3888888888888889</v>
      </c>
      <c r="AV55" s="27">
        <f t="shared" si="9"/>
        <v>0.62768031189083828</v>
      </c>
      <c r="AW55" s="4"/>
      <c r="AY55" s="13">
        <f t="shared" si="23"/>
        <v>2.173410900977867</v>
      </c>
      <c r="AZ55" s="36">
        <f t="shared" si="1"/>
        <v>8.7882086863287334</v>
      </c>
      <c r="BA55" s="23">
        <f t="shared" si="2"/>
        <v>0.89783626074536926</v>
      </c>
    </row>
    <row r="56" spans="1:53" x14ac:dyDescent="0.2">
      <c r="A56" s="1">
        <v>157</v>
      </c>
      <c r="B56" s="1">
        <v>1</v>
      </c>
      <c r="D56" s="51">
        <f>D41*(D54/D55)^2</f>
        <v>1.4572342011090892E-2</v>
      </c>
      <c r="E56" s="6" t="s">
        <v>54</v>
      </c>
      <c r="F56" s="49" t="str">
        <f ca="1">_xlfn.FORMULATEXT(D56)</f>
        <v>=D41*(D54/D55)^2</v>
      </c>
      <c r="H56" s="8">
        <f t="shared" si="24"/>
        <v>3.2773220787452395</v>
      </c>
      <c r="I56" s="39">
        <f t="shared" si="4"/>
        <v>26.504700079213393</v>
      </c>
      <c r="J56" s="8">
        <f t="shared" si="5"/>
        <v>0.96364257755510863</v>
      </c>
      <c r="K56" s="8">
        <f t="shared" si="25"/>
        <v>0.96364257755510863</v>
      </c>
      <c r="L56" s="10">
        <f t="shared" si="10"/>
        <v>-3.7034823294895165E-2</v>
      </c>
      <c r="M56" s="44">
        <f t="shared" si="11"/>
        <v>56</v>
      </c>
      <c r="N56" s="1" t="str">
        <f t="shared" si="26"/>
        <v/>
      </c>
      <c r="O56" s="1">
        <f t="shared" si="27"/>
        <v>157</v>
      </c>
      <c r="P56" s="73"/>
      <c r="Q56" s="10">
        <f>D39</f>
        <v>158.26315789473685</v>
      </c>
      <c r="R56" s="13">
        <f>D$3+E$3*Q56</f>
        <v>3.4765240957859689</v>
      </c>
      <c r="S56" s="8">
        <f>EXP(R56)</f>
        <v>32.347091051839342</v>
      </c>
      <c r="T56" s="22">
        <f>S56/(1+S56)</f>
        <v>0.97001237683834363</v>
      </c>
      <c r="U56" s="6" t="s">
        <v>57</v>
      </c>
      <c r="V56" s="5" t="s">
        <v>97</v>
      </c>
      <c r="AD56" s="8"/>
      <c r="AR56" s="1"/>
      <c r="AS56" s="1">
        <v>150</v>
      </c>
      <c r="AT56" s="1">
        <v>1</v>
      </c>
      <c r="AU56" s="27">
        <f>SUM(AT$2:AT56)/COUNTA(AS$2:AS56)</f>
        <v>0.4</v>
      </c>
      <c r="AV56" s="27">
        <f t="shared" si="9"/>
        <v>0.64561403508771931</v>
      </c>
      <c r="AW56" s="4"/>
      <c r="AY56" s="13">
        <f t="shared" si="23"/>
        <v>2.173410900977867</v>
      </c>
      <c r="AZ56" s="36">
        <f t="shared" si="1"/>
        <v>8.7882086863287334</v>
      </c>
      <c r="BA56" s="23">
        <f t="shared" si="2"/>
        <v>0.89783626074536926</v>
      </c>
    </row>
    <row r="57" spans="1:53" x14ac:dyDescent="0.2">
      <c r="A57" s="1">
        <v>155</v>
      </c>
      <c r="B57" s="1">
        <v>1</v>
      </c>
      <c r="D57" s="1">
        <f>D30</f>
        <v>1.4572342011090863E-2</v>
      </c>
      <c r="E57" s="5" t="s">
        <v>68</v>
      </c>
      <c r="F57" s="49" t="str">
        <f ca="1">_xlfn.FORMULATEXT(D57)</f>
        <v>=D30</v>
      </c>
      <c r="H57" s="8">
        <f t="shared" si="24"/>
        <v>2.9619188850974183</v>
      </c>
      <c r="I57" s="39">
        <f t="shared" si="4"/>
        <v>19.335037897374924</v>
      </c>
      <c r="J57" s="8">
        <f t="shared" si="5"/>
        <v>0.95082379462252731</v>
      </c>
      <c r="K57" s="8">
        <f t="shared" si="25"/>
        <v>0.95082379462252731</v>
      </c>
      <c r="L57" s="10">
        <f t="shared" si="10"/>
        <v>-5.0426517912598619E-2</v>
      </c>
      <c r="M57" s="44">
        <f t="shared" si="11"/>
        <v>57</v>
      </c>
      <c r="N57" s="1" t="str">
        <f t="shared" si="26"/>
        <v/>
      </c>
      <c r="O57" s="1">
        <f t="shared" si="27"/>
        <v>155</v>
      </c>
      <c r="P57" s="73"/>
      <c r="Q57" s="10">
        <f>D40</f>
        <v>123.8</v>
      </c>
      <c r="R57" s="13">
        <f>D$3+E$3*Q57</f>
        <v>-1.9583709358085777</v>
      </c>
      <c r="S57" s="8">
        <f>EXP(R57)</f>
        <v>0.14108807534073448</v>
      </c>
      <c r="T57" s="22">
        <f>S57/(1+S57)</f>
        <v>0.1236434578449213</v>
      </c>
      <c r="U57" s="6" t="s">
        <v>58</v>
      </c>
      <c r="V57" s="5" t="s">
        <v>98</v>
      </c>
      <c r="AD57" s="8"/>
      <c r="AR57" s="1"/>
      <c r="AS57" s="1">
        <v>150</v>
      </c>
      <c r="AT57" s="1">
        <v>0</v>
      </c>
      <c r="AU57" s="27">
        <f>SUM(AT$2:AT57)/COUNTA(AS$2:AS57)</f>
        <v>0.39285714285714285</v>
      </c>
      <c r="AV57" s="27">
        <f t="shared" si="9"/>
        <v>0.63408521303258147</v>
      </c>
      <c r="AW57" s="4"/>
      <c r="AY57" s="13">
        <f t="shared" si="23"/>
        <v>2.173410900977867</v>
      </c>
      <c r="AZ57" s="36">
        <f t="shared" si="1"/>
        <v>8.7882086863287334</v>
      </c>
      <c r="BA57" s="23">
        <f t="shared" si="2"/>
        <v>0.89783626074536926</v>
      </c>
    </row>
    <row r="58" spans="1:53" x14ac:dyDescent="0.2">
      <c r="A58" s="1">
        <v>155</v>
      </c>
      <c r="B58" s="1">
        <v>1</v>
      </c>
      <c r="D58" s="1" t="str">
        <f>IF(D57=D56,"OK", "no")</f>
        <v>OK</v>
      </c>
      <c r="E58" s="5" t="s">
        <v>69</v>
      </c>
      <c r="H58" s="8">
        <f t="shared" si="24"/>
        <v>2.9619188850974183</v>
      </c>
      <c r="I58" s="39">
        <f t="shared" si="4"/>
        <v>19.335037897374924</v>
      </c>
      <c r="J58" s="8">
        <f t="shared" si="5"/>
        <v>0.95082379462252731</v>
      </c>
      <c r="K58" s="8">
        <f t="shared" si="25"/>
        <v>0.95082379462252731</v>
      </c>
      <c r="L58" s="10">
        <f t="shared" si="10"/>
        <v>-5.0426517912598619E-2</v>
      </c>
      <c r="M58" s="44">
        <f t="shared" si="11"/>
        <v>58</v>
      </c>
      <c r="N58" s="1" t="str">
        <f t="shared" si="26"/>
        <v/>
      </c>
      <c r="O58" s="1">
        <f t="shared" si="27"/>
        <v>155</v>
      </c>
      <c r="P58" s="5"/>
      <c r="AD58" s="8"/>
      <c r="AR58" s="1"/>
      <c r="AS58" s="1">
        <v>150</v>
      </c>
      <c r="AT58" s="1">
        <v>0</v>
      </c>
      <c r="AU58" s="27">
        <f>SUM(AT$2:AT58)/COUNTA(AS$2:AS58)</f>
        <v>0.38596491228070173</v>
      </c>
      <c r="AV58" s="27">
        <f t="shared" si="9"/>
        <v>0.62296091104955365</v>
      </c>
      <c r="AW58" s="4"/>
      <c r="AY58" s="13">
        <f t="shared" si="23"/>
        <v>2.173410900977867</v>
      </c>
      <c r="AZ58" s="36">
        <f t="shared" si="1"/>
        <v>8.7882086863287334</v>
      </c>
      <c r="BA58" s="23">
        <f t="shared" si="2"/>
        <v>0.89783626074536926</v>
      </c>
    </row>
    <row r="59" spans="1:53" x14ac:dyDescent="0.2">
      <c r="A59" s="1">
        <v>123</v>
      </c>
      <c r="B59" s="1">
        <v>1</v>
      </c>
      <c r="D59" s="38"/>
      <c r="E59" s="38"/>
      <c r="F59" s="38"/>
      <c r="G59" s="38"/>
      <c r="H59" s="8">
        <f t="shared" si="24"/>
        <v>-2.0845322132677069</v>
      </c>
      <c r="I59" s="39">
        <f t="shared" si="4"/>
        <v>0.12436528299016066</v>
      </c>
      <c r="J59" s="8">
        <f t="shared" si="5"/>
        <v>0.11060932320804233</v>
      </c>
      <c r="K59" s="8">
        <f t="shared" si="25"/>
        <v>0.11060932320804233</v>
      </c>
      <c r="L59" s="10">
        <f t="shared" si="10"/>
        <v>-2.2017508968097537</v>
      </c>
      <c r="M59" s="44">
        <f t="shared" si="11"/>
        <v>59</v>
      </c>
      <c r="N59" s="1" t="str">
        <f t="shared" si="26"/>
        <v/>
      </c>
      <c r="O59" s="1">
        <f t="shared" si="27"/>
        <v>123</v>
      </c>
      <c r="P59" s="5"/>
      <c r="Q59" s="8"/>
      <c r="R59" s="8"/>
      <c r="S59" s="6"/>
      <c r="AD59" s="8"/>
      <c r="AR59" s="1"/>
      <c r="AS59" s="1">
        <v>150</v>
      </c>
      <c r="AT59" s="1">
        <v>1</v>
      </c>
      <c r="AU59" s="27">
        <f>SUM(AT$2:AT59)/COUNTA(AS$2:AS59)</f>
        <v>0.39655172413793105</v>
      </c>
      <c r="AV59" s="27">
        <f t="shared" si="9"/>
        <v>0.64004839685420456</v>
      </c>
      <c r="AW59" s="27">
        <v>1</v>
      </c>
      <c r="AY59" s="13">
        <f t="shared" si="23"/>
        <v>2.173410900977867</v>
      </c>
      <c r="AZ59" s="36">
        <f t="shared" si="1"/>
        <v>8.7882086863287334</v>
      </c>
      <c r="BA59" s="23">
        <f t="shared" si="2"/>
        <v>0.89783626074536926</v>
      </c>
    </row>
    <row r="60" spans="1:53" x14ac:dyDescent="0.2">
      <c r="A60" s="1">
        <v>138</v>
      </c>
      <c r="B60" s="1">
        <v>1</v>
      </c>
      <c r="E60" s="11" t="s">
        <v>90</v>
      </c>
      <c r="H60" s="8">
        <f t="shared" si="24"/>
        <v>0.28099173909094688</v>
      </c>
      <c r="I60" s="39">
        <f t="shared" si="4"/>
        <v>1.3244426627896821</v>
      </c>
      <c r="J60" s="8">
        <f t="shared" si="5"/>
        <v>0.56978934520163682</v>
      </c>
      <c r="K60" s="8">
        <f t="shared" si="25"/>
        <v>0.56978934520163682</v>
      </c>
      <c r="L60" s="10">
        <f t="shared" si="10"/>
        <v>-0.56248855628298777</v>
      </c>
      <c r="M60" s="44">
        <f t="shared" si="11"/>
        <v>60</v>
      </c>
      <c r="N60" s="1" t="str">
        <f t="shared" si="26"/>
        <v/>
      </c>
      <c r="O60" s="1">
        <f t="shared" si="27"/>
        <v>138</v>
      </c>
      <c r="P60" s="5"/>
      <c r="Q60" s="5"/>
      <c r="R60" s="5"/>
      <c r="S60" s="5"/>
      <c r="AD60" s="8"/>
      <c r="AR60" s="1"/>
      <c r="AS60" s="1">
        <v>153</v>
      </c>
      <c r="AT60" s="1">
        <v>1</v>
      </c>
      <c r="AU60" s="27">
        <f>SUM(AT$2:AT60)/COUNTA(AS$2:AS60)</f>
        <v>0.40677966101694918</v>
      </c>
      <c r="AV60" s="27">
        <f t="shared" si="9"/>
        <v>0.65655664585191797</v>
      </c>
      <c r="AW60" s="27">
        <v>1</v>
      </c>
      <c r="AY60" s="13">
        <f t="shared" si="23"/>
        <v>2.6465156914496006</v>
      </c>
      <c r="AZ60" s="36">
        <f t="shared" si="1"/>
        <v>14.104807425688129</v>
      </c>
      <c r="BA60" s="23">
        <f t="shared" si="2"/>
        <v>0.93379591200220524</v>
      </c>
    </row>
    <row r="61" spans="1:53" x14ac:dyDescent="0.2">
      <c r="A61" s="1">
        <v>215</v>
      </c>
      <c r="B61" s="1">
        <v>1</v>
      </c>
      <c r="D61" s="14" t="s">
        <v>48</v>
      </c>
      <c r="E61" s="4">
        <f>AVERAGE(A:A)</f>
        <v>145.15217391304347</v>
      </c>
      <c r="F61" t="str">
        <f ca="1">_xlfn.FORMULATEXT(E61)</f>
        <v>=AVERAGE(A:A)</v>
      </c>
      <c r="G61"/>
      <c r="H61" s="8">
        <f t="shared" si="24"/>
        <v>12.424014694532033</v>
      </c>
      <c r="I61" s="39">
        <f t="shared" si="4"/>
        <v>248703.00051907182</v>
      </c>
      <c r="J61" s="8">
        <f t="shared" si="5"/>
        <v>0.99999597915595284</v>
      </c>
      <c r="K61" s="8">
        <f t="shared" si="25"/>
        <v>0.99999597915595284</v>
      </c>
      <c r="L61" s="10">
        <f t="shared" si="10"/>
        <v>-4.0208521307740616E-6</v>
      </c>
      <c r="M61" s="44">
        <f t="shared" si="11"/>
        <v>61</v>
      </c>
      <c r="N61" s="1" t="str">
        <f t="shared" si="26"/>
        <v/>
      </c>
      <c r="O61" s="1">
        <f t="shared" si="27"/>
        <v>215</v>
      </c>
      <c r="P61" s="5"/>
      <c r="Q61" s="5"/>
      <c r="R61" s="5"/>
      <c r="S61" s="5"/>
      <c r="AD61" s="8"/>
      <c r="AR61" s="1"/>
      <c r="AS61" s="1">
        <v>155</v>
      </c>
      <c r="AT61" s="1">
        <v>1</v>
      </c>
      <c r="AU61" s="27">
        <f>SUM(AT$2:AT61)/COUNTA(AS$2:AS61)</f>
        <v>0.41666666666666669</v>
      </c>
      <c r="AV61" s="27">
        <f t="shared" si="9"/>
        <v>0.67251461988304095</v>
      </c>
      <c r="AW61" s="27">
        <v>1</v>
      </c>
      <c r="AY61" s="13">
        <f t="shared" si="23"/>
        <v>2.9619188850974183</v>
      </c>
      <c r="AZ61" s="36">
        <f t="shared" si="1"/>
        <v>19.335037897374924</v>
      </c>
      <c r="BA61" s="23">
        <f t="shared" si="2"/>
        <v>0.95082379462252731</v>
      </c>
    </row>
    <row r="62" spans="1:53" x14ac:dyDescent="0.2">
      <c r="A62" s="1">
        <v>148</v>
      </c>
      <c r="B62" s="1">
        <v>1</v>
      </c>
      <c r="D62" s="14" t="s">
        <v>49</v>
      </c>
      <c r="E62" s="4">
        <f>STDEV(A:A)</f>
        <v>23.739397764290043</v>
      </c>
      <c r="F62" t="str">
        <f ca="1">_xlfn.FORMULATEXT(E62)</f>
        <v>=STDEV(A:A)</v>
      </c>
      <c r="H62" s="8">
        <f t="shared" si="24"/>
        <v>1.8580077073300494</v>
      </c>
      <c r="I62" s="39">
        <f t="shared" si="4"/>
        <v>6.4109515479282138</v>
      </c>
      <c r="J62" s="8">
        <f t="shared" si="5"/>
        <v>0.86506456107116803</v>
      </c>
      <c r="K62" s="8">
        <f t="shared" si="25"/>
        <v>0.86506456107116803</v>
      </c>
      <c r="L62" s="10">
        <f t="shared" si="10"/>
        <v>-0.14495113775897092</v>
      </c>
      <c r="M62" s="44">
        <f t="shared" si="11"/>
        <v>62</v>
      </c>
      <c r="N62" s="1" t="str">
        <f t="shared" si="26"/>
        <v/>
      </c>
      <c r="O62" s="1">
        <f t="shared" si="27"/>
        <v>148</v>
      </c>
      <c r="P62" s="5"/>
      <c r="Q62" s="5"/>
      <c r="R62" s="5"/>
      <c r="S62" s="5"/>
      <c r="AD62" s="8"/>
      <c r="AR62" s="1"/>
      <c r="AS62" s="1">
        <v>155</v>
      </c>
      <c r="AT62" s="1">
        <v>1</v>
      </c>
      <c r="AU62" s="27">
        <f>SUM(AT$2:AT62)/COUNTA(AS$2:AS62)</f>
        <v>0.42622950819672129</v>
      </c>
      <c r="AV62" s="27">
        <f t="shared" si="9"/>
        <v>0.6879493816508484</v>
      </c>
      <c r="AW62" s="27">
        <v>1</v>
      </c>
      <c r="AY62" s="13">
        <f t="shared" si="23"/>
        <v>2.9619188850974183</v>
      </c>
      <c r="AZ62" s="36">
        <f t="shared" si="1"/>
        <v>19.335037897374924</v>
      </c>
      <c r="BA62" s="23">
        <f t="shared" si="2"/>
        <v>0.95082379462252731</v>
      </c>
    </row>
    <row r="63" spans="1:53" x14ac:dyDescent="0.2">
      <c r="A63" s="1">
        <v>108</v>
      </c>
      <c r="B63" s="1">
        <v>0</v>
      </c>
      <c r="D63" s="14" t="s">
        <v>50</v>
      </c>
      <c r="E63" s="29">
        <f>KURT(A3:A94)</f>
        <v>-6.6025135059003759E-2</v>
      </c>
      <c r="F63" t="str">
        <f ca="1">_xlfn.FORMULATEXT(E63)</f>
        <v>=KURT(A3:A94)</v>
      </c>
      <c r="G63" s="6"/>
      <c r="H63" s="8">
        <f t="shared" si="24"/>
        <v>-4.4500561656263606</v>
      </c>
      <c r="I63" s="39">
        <f t="shared" si="4"/>
        <v>1.1677911054786686E-2</v>
      </c>
      <c r="J63" s="8">
        <f t="shared" si="5"/>
        <v>1.1543111623946762E-2</v>
      </c>
      <c r="K63" s="8">
        <f t="shared" si="25"/>
        <v>0.98845688837605328</v>
      </c>
      <c r="L63" s="10">
        <f t="shared" si="10"/>
        <v>-1.1610250498012207E-2</v>
      </c>
      <c r="M63" s="44">
        <f t="shared" si="11"/>
        <v>63</v>
      </c>
      <c r="N63" s="1">
        <f t="shared" si="26"/>
        <v>108</v>
      </c>
      <c r="O63" s="1" t="str">
        <f t="shared" si="27"/>
        <v/>
      </c>
      <c r="P63" s="5"/>
      <c r="Q63" s="5"/>
      <c r="R63" s="5"/>
      <c r="S63" s="5"/>
      <c r="AD63" s="8"/>
      <c r="AR63" s="1"/>
      <c r="AS63" s="1">
        <v>155</v>
      </c>
      <c r="AT63" s="1">
        <v>1</v>
      </c>
      <c r="AU63" s="27">
        <f>SUM(AT$2:AT63)/COUNTA(AS$2:AS63)</f>
        <v>0.43548387096774194</v>
      </c>
      <c r="AV63" s="27">
        <f t="shared" si="9"/>
        <v>0.702886247877759</v>
      </c>
      <c r="AW63" s="27">
        <v>1</v>
      </c>
      <c r="AY63" s="13">
        <f t="shared" si="23"/>
        <v>2.9619188850974183</v>
      </c>
      <c r="AZ63" s="36">
        <f t="shared" si="1"/>
        <v>19.335037897374924</v>
      </c>
      <c r="BA63" s="23">
        <f t="shared" si="2"/>
        <v>0.95082379462252731</v>
      </c>
    </row>
    <row r="64" spans="1:53" x14ac:dyDescent="0.2">
      <c r="A64" s="1">
        <v>108</v>
      </c>
      <c r="B64" s="1">
        <v>0</v>
      </c>
      <c r="D64" s="14" t="s">
        <v>51</v>
      </c>
      <c r="E64" s="19">
        <f>MAX(A$3:A$94)</f>
        <v>215</v>
      </c>
      <c r="F64" s="6" t="str">
        <f ca="1">_xlfn.FORMULATEXT(E64)</f>
        <v>=MAX(A$3:A$94)</v>
      </c>
      <c r="G64" s="6"/>
      <c r="H64" s="8">
        <f t="shared" si="24"/>
        <v>-4.4500561656263606</v>
      </c>
      <c r="I64" s="39">
        <f t="shared" si="4"/>
        <v>1.1677911054786686E-2</v>
      </c>
      <c r="J64" s="8">
        <f t="shared" si="5"/>
        <v>1.1543111623946762E-2</v>
      </c>
      <c r="K64" s="8">
        <f t="shared" si="25"/>
        <v>0.98845688837605328</v>
      </c>
      <c r="L64" s="10">
        <f t="shared" si="10"/>
        <v>-1.1610250498012207E-2</v>
      </c>
      <c r="M64" s="44">
        <f t="shared" si="11"/>
        <v>64</v>
      </c>
      <c r="N64" s="1">
        <f t="shared" si="26"/>
        <v>108</v>
      </c>
      <c r="O64" s="1" t="str">
        <f t="shared" si="27"/>
        <v/>
      </c>
      <c r="P64" s="5"/>
      <c r="AD64" s="8"/>
      <c r="AR64" s="1"/>
      <c r="AS64" s="1">
        <v>155</v>
      </c>
      <c r="AT64" s="1">
        <v>1</v>
      </c>
      <c r="AU64" s="27">
        <f>SUM(AT$2:AT64)/COUNTA(AS$2:AS64)</f>
        <v>0.44444444444444442</v>
      </c>
      <c r="AV64" s="27">
        <f t="shared" si="9"/>
        <v>0.71734892787524362</v>
      </c>
      <c r="AW64" s="27">
        <v>1</v>
      </c>
      <c r="AY64" s="13">
        <f t="shared" si="23"/>
        <v>2.9619188850974183</v>
      </c>
      <c r="AZ64" s="36">
        <f t="shared" si="1"/>
        <v>19.335037897374924</v>
      </c>
      <c r="BA64" s="23">
        <f t="shared" si="2"/>
        <v>0.95082379462252731</v>
      </c>
    </row>
    <row r="65" spans="1:53" x14ac:dyDescent="0.2">
      <c r="A65" s="1">
        <v>130</v>
      </c>
      <c r="B65" s="1">
        <v>0</v>
      </c>
      <c r="D65" s="14" t="s">
        <v>52</v>
      </c>
      <c r="E65" s="19">
        <f>MIN(A$3:A$94)</f>
        <v>95</v>
      </c>
      <c r="F65" s="6" t="str">
        <f ca="1">_xlfn.FORMULATEXT(E65)</f>
        <v>=MIN(A$3:A$94)</v>
      </c>
      <c r="G65"/>
      <c r="H65" s="8">
        <f t="shared" si="24"/>
        <v>-0.98062103550033441</v>
      </c>
      <c r="I65" s="39">
        <f t="shared" si="4"/>
        <v>0.3750780896963109</v>
      </c>
      <c r="J65" s="8">
        <f t="shared" si="5"/>
        <v>0.27276857402269261</v>
      </c>
      <c r="K65" s="8">
        <f t="shared" si="25"/>
        <v>0.72723142597730739</v>
      </c>
      <c r="L65" s="10">
        <f t="shared" si="10"/>
        <v>-0.31851052201230923</v>
      </c>
      <c r="M65" s="44">
        <f t="shared" si="11"/>
        <v>65</v>
      </c>
      <c r="N65" s="1">
        <f t="shared" si="26"/>
        <v>130</v>
      </c>
      <c r="O65" s="1" t="str">
        <f t="shared" si="27"/>
        <v/>
      </c>
      <c r="P65" s="5"/>
      <c r="AD65" s="8"/>
      <c r="AR65" s="1"/>
      <c r="AS65" s="1">
        <v>155</v>
      </c>
      <c r="AT65" s="1">
        <v>1</v>
      </c>
      <c r="AU65" s="27">
        <f>SUM(AT$2:AT65)/COUNTA(AS$2:AS65)</f>
        <v>0.453125</v>
      </c>
      <c r="AV65" s="27">
        <f t="shared" si="9"/>
        <v>0.73135964912280704</v>
      </c>
      <c r="AW65" s="27">
        <v>1</v>
      </c>
      <c r="AY65" s="13">
        <f t="shared" si="23"/>
        <v>2.9619188850974183</v>
      </c>
      <c r="AZ65" s="36">
        <f t="shared" si="1"/>
        <v>19.335037897374924</v>
      </c>
      <c r="BA65" s="23">
        <f t="shared" si="2"/>
        <v>0.95082379462252731</v>
      </c>
    </row>
    <row r="66" spans="1:53" x14ac:dyDescent="0.2">
      <c r="A66" s="1">
        <v>145</v>
      </c>
      <c r="B66" s="1">
        <v>0</v>
      </c>
      <c r="H66" s="8">
        <f t="shared" si="24"/>
        <v>1.3849029168583193</v>
      </c>
      <c r="I66" s="39">
        <f t="shared" si="4"/>
        <v>3.9944380933926062</v>
      </c>
      <c r="J66" s="8">
        <f t="shared" si="5"/>
        <v>0.79977727598166637</v>
      </c>
      <c r="K66" s="8">
        <f t="shared" si="25"/>
        <v>0.20022272401833363</v>
      </c>
      <c r="L66" s="10">
        <f t="shared" si="10"/>
        <v>-1.6083249119573189</v>
      </c>
      <c r="M66" s="44">
        <f t="shared" si="11"/>
        <v>66</v>
      </c>
      <c r="N66" s="1">
        <f t="shared" si="26"/>
        <v>145</v>
      </c>
      <c r="O66" s="1" t="str">
        <f t="shared" si="27"/>
        <v/>
      </c>
      <c r="P66" s="5"/>
      <c r="AD66" s="8"/>
      <c r="AR66" s="1"/>
      <c r="AS66" s="1">
        <v>155</v>
      </c>
      <c r="AT66" s="1">
        <v>1</v>
      </c>
      <c r="AU66" s="27">
        <f>SUM(AT$2:AT66)/COUNTA(AS$2:AS66)</f>
        <v>0.46153846153846156</v>
      </c>
      <c r="AV66" s="27">
        <f t="shared" si="9"/>
        <v>0.74493927125506076</v>
      </c>
      <c r="AW66" s="27">
        <v>1</v>
      </c>
      <c r="AY66" s="13">
        <f t="shared" ref="AY66:AY93" si="31">D$3+E$3*AS66</f>
        <v>2.9619188850974183</v>
      </c>
      <c r="AZ66" s="36">
        <f t="shared" ref="AZ66:AZ93" si="32">EXP(AY66)</f>
        <v>19.335037897374924</v>
      </c>
      <c r="BA66" s="23">
        <f t="shared" ref="BA66:BA93" si="33">AZ66/(1+AZ66)</f>
        <v>0.95082379462252731</v>
      </c>
    </row>
    <row r="67" spans="1:53" ht="13.5" thickBot="1" x14ac:dyDescent="0.25">
      <c r="A67" s="1">
        <v>180</v>
      </c>
      <c r="B67" s="1">
        <v>1</v>
      </c>
      <c r="D67" s="50" t="s">
        <v>59</v>
      </c>
      <c r="E67"/>
      <c r="H67" s="8">
        <f t="shared" ref="H67:H94" si="34">D$3+E$3*A67</f>
        <v>6.9044588056951746</v>
      </c>
      <c r="I67" s="39">
        <f t="shared" ref="I67:I94" si="35">EXP(H67)</f>
        <v>996.7089541157028</v>
      </c>
      <c r="J67" s="8">
        <f t="shared" ref="J67:J94" si="36">I67/(1+I67)</f>
        <v>0.99899770369317142</v>
      </c>
      <c r="K67" s="8">
        <f t="shared" ref="K67:K94" si="37">IF(B67=1,J67,1-J67)</f>
        <v>0.99899770369317142</v>
      </c>
      <c r="L67" s="10">
        <f t="shared" si="10"/>
        <v>-1.0027989416593413E-3</v>
      </c>
      <c r="M67" s="44">
        <f t="shared" si="11"/>
        <v>67</v>
      </c>
      <c r="N67" s="1" t="str">
        <f t="shared" ref="N67:N94" si="38">IF($B67=1,"",$A67)</f>
        <v/>
      </c>
      <c r="O67" s="1">
        <f t="shared" ref="O67:O94" si="39">IF($B67=1,$A67,"")</f>
        <v>180</v>
      </c>
      <c r="P67" s="5"/>
      <c r="AD67" s="8"/>
      <c r="AR67" s="1"/>
      <c r="AS67" s="1">
        <v>155</v>
      </c>
      <c r="AT67" s="1">
        <v>1</v>
      </c>
      <c r="AU67" s="27">
        <f>SUM(AT$2:AT67)/COUNTA(AS$2:AS67)</f>
        <v>0.46969696969696972</v>
      </c>
      <c r="AV67" s="27">
        <f t="shared" ref="AV67:AV93" si="40">AU67/AU$93</f>
        <v>0.75810738968633717</v>
      </c>
      <c r="AW67" s="27">
        <v>1</v>
      </c>
      <c r="AY67" s="13">
        <f t="shared" si="31"/>
        <v>2.9619188850974183</v>
      </c>
      <c r="AZ67" s="36">
        <f t="shared" si="32"/>
        <v>19.335037897374924</v>
      </c>
      <c r="BA67" s="23">
        <f t="shared" si="33"/>
        <v>0.95082379462252731</v>
      </c>
    </row>
    <row r="68" spans="1:53" ht="14.25" thickTop="1" thickBot="1" x14ac:dyDescent="0.25">
      <c r="A68" s="1">
        <v>115</v>
      </c>
      <c r="B68" s="1">
        <v>0</v>
      </c>
      <c r="D68" s="69">
        <v>25</v>
      </c>
      <c r="E68" s="14" t="s">
        <v>38</v>
      </c>
      <c r="H68" s="8">
        <f t="shared" si="34"/>
        <v>-3.3461449878589882</v>
      </c>
      <c r="I68" s="39">
        <f t="shared" si="35"/>
        <v>3.5219865743556115E-2</v>
      </c>
      <c r="J68" s="8">
        <f t="shared" si="36"/>
        <v>3.4021628553523871E-2</v>
      </c>
      <c r="K68" s="8">
        <f t="shared" si="37"/>
        <v>0.96597837144647614</v>
      </c>
      <c r="L68" s="10">
        <f t="shared" ref="L68:L94" si="41">LN(K68)</f>
        <v>-3.4613834827235047E-2</v>
      </c>
      <c r="M68" s="44">
        <f t="shared" ref="M68:M94" si="42">M67+1</f>
        <v>68</v>
      </c>
      <c r="N68" s="1">
        <f t="shared" si="38"/>
        <v>115</v>
      </c>
      <c r="O68" s="1" t="str">
        <f t="shared" si="39"/>
        <v/>
      </c>
      <c r="P68" s="5"/>
      <c r="AA68" s="8"/>
      <c r="AB68" s="8"/>
      <c r="AC68" s="8"/>
      <c r="AD68" s="8"/>
      <c r="AR68" s="1"/>
      <c r="AS68" s="1">
        <v>155</v>
      </c>
      <c r="AT68" s="1">
        <v>1</v>
      </c>
      <c r="AU68" s="27">
        <f>SUM(AT$2:AT68)/COUNTA(AS$2:AS68)</f>
        <v>0.47761194029850745</v>
      </c>
      <c r="AV68" s="27">
        <f t="shared" si="40"/>
        <v>0.77088242995548573</v>
      </c>
      <c r="AW68" s="27">
        <v>1</v>
      </c>
      <c r="AY68" s="13">
        <f t="shared" si="31"/>
        <v>2.9619188850974183</v>
      </c>
      <c r="AZ68" s="36">
        <f t="shared" si="32"/>
        <v>19.335037897374924</v>
      </c>
      <c r="BA68" s="23">
        <f t="shared" si="33"/>
        <v>0.95082379462252731</v>
      </c>
    </row>
    <row r="69" spans="1:53" ht="13.5" thickTop="1" x14ac:dyDescent="0.2">
      <c r="A69" s="1">
        <v>133</v>
      </c>
      <c r="B69" s="1">
        <v>0</v>
      </c>
      <c r="D69" s="1">
        <f>ABS(D41/D68)</f>
        <v>1.378526315789474</v>
      </c>
      <c r="E69" s="14" t="s">
        <v>91</v>
      </c>
      <c r="F69" s="15" t="str">
        <f ca="1">_xlfn.FORMULATEXT(D69)</f>
        <v>=ABS(D41/D68)</v>
      </c>
      <c r="H69" s="8">
        <f t="shared" si="34"/>
        <v>-0.50751624502860437</v>
      </c>
      <c r="I69" s="39">
        <f t="shared" si="35"/>
        <v>0.60198891646614816</v>
      </c>
      <c r="J69" s="8">
        <f t="shared" si="36"/>
        <v>0.3757759559248916</v>
      </c>
      <c r="K69" s="8">
        <f t="shared" si="37"/>
        <v>0.62422404407510834</v>
      </c>
      <c r="L69" s="10">
        <f t="shared" si="41"/>
        <v>-0.4712459300617774</v>
      </c>
      <c r="M69" s="44">
        <f t="shared" si="42"/>
        <v>69</v>
      </c>
      <c r="N69" s="1">
        <f t="shared" si="38"/>
        <v>133</v>
      </c>
      <c r="O69" s="1" t="str">
        <f t="shared" si="39"/>
        <v/>
      </c>
      <c r="P69" s="5"/>
      <c r="AA69" s="8"/>
      <c r="AB69" s="8"/>
      <c r="AC69" s="8"/>
      <c r="AD69" s="8"/>
      <c r="AR69" s="1"/>
      <c r="AS69" s="1">
        <v>155</v>
      </c>
      <c r="AT69" s="1">
        <v>1</v>
      </c>
      <c r="AU69" s="27">
        <f>SUM(AT$2:AT69)/COUNTA(AS$2:AS69)</f>
        <v>0.48529411764705882</v>
      </c>
      <c r="AV69" s="27">
        <f t="shared" si="40"/>
        <v>0.78328173374613008</v>
      </c>
      <c r="AW69" s="27">
        <v>1</v>
      </c>
      <c r="AY69" s="13">
        <f t="shared" si="31"/>
        <v>2.9619188850974183</v>
      </c>
      <c r="AZ69" s="36">
        <f t="shared" si="32"/>
        <v>19.335037897374924</v>
      </c>
      <c r="BA69" s="23">
        <f t="shared" si="33"/>
        <v>0.95082379462252731</v>
      </c>
    </row>
    <row r="70" spans="1:53" x14ac:dyDescent="0.2">
      <c r="A70" s="1">
        <v>155</v>
      </c>
      <c r="B70" s="1">
        <v>1</v>
      </c>
      <c r="D70" s="1">
        <f>ROUND(D69+0.5,0)</f>
        <v>2</v>
      </c>
      <c r="E70" s="14" t="s">
        <v>92</v>
      </c>
      <c r="F70" s="15" t="str">
        <f ca="1">_xlfn.FORMULATEXT(D70)</f>
        <v>=ROUND(D69+0.5,0)</v>
      </c>
      <c r="H70" s="8">
        <f t="shared" si="34"/>
        <v>2.9619188850974183</v>
      </c>
      <c r="I70" s="39">
        <f t="shared" si="35"/>
        <v>19.335037897374924</v>
      </c>
      <c r="J70" s="8">
        <f t="shared" si="36"/>
        <v>0.95082379462252731</v>
      </c>
      <c r="K70" s="8">
        <f t="shared" si="37"/>
        <v>0.95082379462252731</v>
      </c>
      <c r="L70" s="10">
        <f t="shared" si="41"/>
        <v>-5.0426517912598619E-2</v>
      </c>
      <c r="M70" s="44">
        <f t="shared" si="42"/>
        <v>70</v>
      </c>
      <c r="N70" s="1" t="str">
        <f t="shared" si="38"/>
        <v/>
      </c>
      <c r="O70" s="1">
        <f t="shared" si="39"/>
        <v>155</v>
      </c>
      <c r="P70" s="5"/>
      <c r="Q70" s="5"/>
      <c r="R70" s="5"/>
      <c r="S70" s="5"/>
      <c r="AA70" s="8"/>
      <c r="AB70" s="8"/>
      <c r="AC70" s="8"/>
      <c r="AD70" s="8"/>
      <c r="AR70" s="1"/>
      <c r="AS70" s="1">
        <v>155</v>
      </c>
      <c r="AT70" s="1">
        <v>1</v>
      </c>
      <c r="AU70" s="27">
        <f>SUM(AT$2:AT70)/COUNTA(AS$2:AS70)</f>
        <v>0.49275362318840582</v>
      </c>
      <c r="AV70" s="27">
        <f t="shared" si="40"/>
        <v>0.79532163742690065</v>
      </c>
      <c r="AW70" s="27">
        <v>1</v>
      </c>
      <c r="AY70" s="13">
        <f t="shared" si="31"/>
        <v>2.9619188850974183</v>
      </c>
      <c r="AZ70" s="36">
        <f t="shared" si="32"/>
        <v>19.335037897374924</v>
      </c>
      <c r="BA70" s="23">
        <f t="shared" si="33"/>
        <v>0.95082379462252731</v>
      </c>
    </row>
    <row r="71" spans="1:53" x14ac:dyDescent="0.2">
      <c r="A71" s="1">
        <v>125</v>
      </c>
      <c r="B71" s="1">
        <v>0</v>
      </c>
      <c r="H71" s="8">
        <f t="shared" si="34"/>
        <v>-1.7691290196198857</v>
      </c>
      <c r="I71" s="39">
        <f t="shared" si="35"/>
        <v>0.17048141014340779</v>
      </c>
      <c r="J71" s="8">
        <f t="shared" si="36"/>
        <v>0.14565067729056913</v>
      </c>
      <c r="K71" s="8">
        <f t="shared" si="37"/>
        <v>0.85434932270943087</v>
      </c>
      <c r="L71" s="10">
        <f t="shared" si="41"/>
        <v>-0.15741512584356088</v>
      </c>
      <c r="M71" s="44">
        <f t="shared" si="42"/>
        <v>71</v>
      </c>
      <c r="N71" s="1">
        <f t="shared" si="38"/>
        <v>125</v>
      </c>
      <c r="O71" s="1" t="str">
        <f t="shared" si="39"/>
        <v/>
      </c>
      <c r="P71" s="5"/>
      <c r="Q71" s="5"/>
      <c r="R71" s="5"/>
      <c r="S71" s="5"/>
      <c r="AR71" s="1"/>
      <c r="AS71" s="1">
        <v>157</v>
      </c>
      <c r="AT71" s="1">
        <v>1</v>
      </c>
      <c r="AU71" s="27">
        <f>SUM(AT$2:AT71)/COUNTA(AS$2:AS71)</f>
        <v>0.5</v>
      </c>
      <c r="AV71" s="27">
        <f t="shared" si="40"/>
        <v>0.80701754385964919</v>
      </c>
      <c r="AW71" s="27">
        <v>1</v>
      </c>
      <c r="AY71" s="13">
        <f t="shared" si="31"/>
        <v>3.2773220787452395</v>
      </c>
      <c r="AZ71" s="36">
        <f t="shared" si="32"/>
        <v>26.504700079213393</v>
      </c>
      <c r="BA71" s="23">
        <f t="shared" si="33"/>
        <v>0.96364257755510863</v>
      </c>
    </row>
    <row r="72" spans="1:53" x14ac:dyDescent="0.2">
      <c r="A72" s="1">
        <v>102</v>
      </c>
      <c r="B72" s="1">
        <v>0</v>
      </c>
      <c r="D72" s="42" t="s">
        <v>74</v>
      </c>
      <c r="H72" s="8">
        <f t="shared" si="34"/>
        <v>-5.3962657465698207</v>
      </c>
      <c r="I72" s="39">
        <f t="shared" si="35"/>
        <v>4.5334785307927072E-3</v>
      </c>
      <c r="J72" s="8">
        <f t="shared" si="36"/>
        <v>4.5130188566968096E-3</v>
      </c>
      <c r="K72" s="8">
        <f t="shared" si="37"/>
        <v>0.99548698114330314</v>
      </c>
      <c r="L72" s="10">
        <f t="shared" si="41"/>
        <v>-4.523233269775568E-3</v>
      </c>
      <c r="M72" s="44">
        <f t="shared" si="42"/>
        <v>72</v>
      </c>
      <c r="N72" s="1">
        <f t="shared" si="38"/>
        <v>102</v>
      </c>
      <c r="O72" s="1" t="str">
        <f t="shared" si="39"/>
        <v/>
      </c>
      <c r="P72" s="5"/>
      <c r="Q72" s="5"/>
      <c r="R72" s="5"/>
      <c r="S72" s="5"/>
      <c r="AR72" s="1"/>
      <c r="AS72" s="1">
        <v>160</v>
      </c>
      <c r="AT72" s="1">
        <v>1</v>
      </c>
      <c r="AU72" s="27">
        <f>SUM(AT$2:AT72)/COUNTA(AS$2:AS72)</f>
        <v>0.50704225352112675</v>
      </c>
      <c r="AV72" s="27">
        <f t="shared" si="40"/>
        <v>0.81838398813936253</v>
      </c>
      <c r="AW72" s="27">
        <v>1</v>
      </c>
      <c r="AY72" s="13">
        <f t="shared" si="31"/>
        <v>3.7504268692169695</v>
      </c>
      <c r="AZ72" s="36">
        <f t="shared" si="32"/>
        <v>42.539236815631121</v>
      </c>
      <c r="BA72" s="23">
        <f t="shared" si="33"/>
        <v>0.97703221110111449</v>
      </c>
    </row>
    <row r="73" spans="1:53" x14ac:dyDescent="0.2">
      <c r="A73" s="1">
        <v>138</v>
      </c>
      <c r="B73" s="1">
        <v>0</v>
      </c>
      <c r="D73" s="8">
        <f>AVERAGE(O3:O94)</f>
        <v>158.26315789473685</v>
      </c>
      <c r="E73" s="15" t="str">
        <f ca="1">_xlfn.FORMULATEXT(D73)</f>
        <v>=AVERAGE(O3:O94)</v>
      </c>
      <c r="H73" s="8">
        <f t="shared" si="34"/>
        <v>0.28099173909094688</v>
      </c>
      <c r="I73" s="39">
        <f t="shared" si="35"/>
        <v>1.3244426627896821</v>
      </c>
      <c r="J73" s="8">
        <f t="shared" si="36"/>
        <v>0.56978934520163682</v>
      </c>
      <c r="K73" s="8">
        <f t="shared" si="37"/>
        <v>0.43021065479836318</v>
      </c>
      <c r="L73" s="10">
        <f t="shared" si="41"/>
        <v>-0.84348029537393454</v>
      </c>
      <c r="M73" s="44">
        <f t="shared" si="42"/>
        <v>73</v>
      </c>
      <c r="N73" s="1">
        <f t="shared" si="38"/>
        <v>138</v>
      </c>
      <c r="O73" s="1" t="str">
        <f t="shared" si="39"/>
        <v/>
      </c>
      <c r="P73" s="5"/>
      <c r="Q73" s="5"/>
      <c r="R73" s="5"/>
      <c r="S73" s="5"/>
      <c r="AR73" s="1"/>
      <c r="AS73" s="1">
        <v>160</v>
      </c>
      <c r="AT73" s="1">
        <v>1</v>
      </c>
      <c r="AU73" s="27">
        <f>SUM(AT$2:AT73)/COUNTA(AS$2:AS73)</f>
        <v>0.51388888888888884</v>
      </c>
      <c r="AV73" s="27">
        <f t="shared" si="40"/>
        <v>0.82943469785575041</v>
      </c>
      <c r="AW73" s="27">
        <v>1</v>
      </c>
      <c r="AY73" s="13">
        <f t="shared" si="31"/>
        <v>3.7504268692169695</v>
      </c>
      <c r="AZ73" s="36">
        <f t="shared" si="32"/>
        <v>42.539236815631121</v>
      </c>
      <c r="BA73" s="23">
        <f t="shared" si="33"/>
        <v>0.97703221110111449</v>
      </c>
    </row>
    <row r="74" spans="1:53" x14ac:dyDescent="0.2">
      <c r="A74" s="1">
        <v>180</v>
      </c>
      <c r="B74" s="1">
        <v>1</v>
      </c>
      <c r="D74" s="8">
        <f>AVERAGE(N3:N94)</f>
        <v>123.8</v>
      </c>
      <c r="E74" s="15" t="str">
        <f ca="1">_xlfn.FORMULATEXT(D74)</f>
        <v>=AVERAGE(N3:N94)</v>
      </c>
      <c r="H74" s="8">
        <f t="shared" si="34"/>
        <v>6.9044588056951746</v>
      </c>
      <c r="I74" s="39">
        <f t="shared" si="35"/>
        <v>996.7089541157028</v>
      </c>
      <c r="J74" s="8">
        <f t="shared" si="36"/>
        <v>0.99899770369317142</v>
      </c>
      <c r="K74" s="8">
        <f t="shared" si="37"/>
        <v>0.99899770369317142</v>
      </c>
      <c r="L74" s="10">
        <f t="shared" si="41"/>
        <v>-1.0027989416593413E-3</v>
      </c>
      <c r="M74" s="44">
        <f t="shared" si="42"/>
        <v>74</v>
      </c>
      <c r="N74" s="1" t="str">
        <f t="shared" si="38"/>
        <v/>
      </c>
      <c r="O74" s="1">
        <f t="shared" si="39"/>
        <v>180</v>
      </c>
      <c r="P74" s="5"/>
      <c r="Q74" s="5"/>
      <c r="R74" s="5"/>
      <c r="S74" s="5"/>
      <c r="AR74" s="1"/>
      <c r="AS74" s="1">
        <v>160</v>
      </c>
      <c r="AT74" s="1">
        <v>1</v>
      </c>
      <c r="AU74" s="27">
        <f>SUM(AT$2:AT74)/COUNTA(AS$2:AS74)</f>
        <v>0.52054794520547942</v>
      </c>
      <c r="AV74" s="27">
        <f t="shared" si="40"/>
        <v>0.84018264840182644</v>
      </c>
      <c r="AW74" s="27">
        <v>1</v>
      </c>
      <c r="AY74" s="13">
        <f t="shared" si="31"/>
        <v>3.7504268692169695</v>
      </c>
      <c r="AZ74" s="36">
        <f t="shared" si="32"/>
        <v>42.539236815631121</v>
      </c>
      <c r="BA74" s="23">
        <f t="shared" si="33"/>
        <v>0.97703221110111449</v>
      </c>
    </row>
    <row r="75" spans="1:53" x14ac:dyDescent="0.2">
      <c r="A75" s="1">
        <v>116</v>
      </c>
      <c r="B75" s="1">
        <v>0</v>
      </c>
      <c r="D75" s="15">
        <f>STDEV(O3:O94)</f>
        <v>18.6361077287666</v>
      </c>
      <c r="E75" s="15" t="str">
        <f t="shared" ref="E75:E80" ca="1" si="43">_xlfn.FORMULATEXT(D75)</f>
        <v>=STDEV(O3:O94)</v>
      </c>
      <c r="H75" s="8">
        <f t="shared" si="34"/>
        <v>-3.1884433910350793</v>
      </c>
      <c r="I75" s="39">
        <f t="shared" si="35"/>
        <v>4.1236009348735003E-2</v>
      </c>
      <c r="J75" s="8">
        <f t="shared" si="36"/>
        <v>3.9602942059722861E-2</v>
      </c>
      <c r="K75" s="8">
        <f t="shared" si="37"/>
        <v>0.96039705794027719</v>
      </c>
      <c r="L75" s="10">
        <f t="shared" si="41"/>
        <v>-4.0408478008871811E-2</v>
      </c>
      <c r="M75" s="44">
        <f t="shared" si="42"/>
        <v>75</v>
      </c>
      <c r="N75" s="1">
        <f t="shared" si="38"/>
        <v>116</v>
      </c>
      <c r="O75" s="1" t="str">
        <f t="shared" si="39"/>
        <v/>
      </c>
      <c r="P75" s="5"/>
      <c r="Q75" s="5"/>
      <c r="R75" s="5"/>
      <c r="S75" s="5"/>
      <c r="AR75" s="1"/>
      <c r="AS75" s="1">
        <v>160</v>
      </c>
      <c r="AT75" s="1">
        <v>1</v>
      </c>
      <c r="AU75" s="27">
        <f>SUM(AT$2:AT75)/COUNTA(AS$2:AS75)</f>
        <v>0.52702702702702697</v>
      </c>
      <c r="AV75" s="27">
        <f t="shared" si="40"/>
        <v>0.85064011379800852</v>
      </c>
      <c r="AW75" s="27">
        <v>1</v>
      </c>
      <c r="AY75" s="13">
        <f t="shared" si="31"/>
        <v>3.7504268692169695</v>
      </c>
      <c r="AZ75" s="36">
        <f t="shared" si="32"/>
        <v>42.539236815631121</v>
      </c>
      <c r="BA75" s="23">
        <f t="shared" si="33"/>
        <v>0.97703221110111449</v>
      </c>
    </row>
    <row r="76" spans="1:53" x14ac:dyDescent="0.2">
      <c r="A76" s="1">
        <v>150</v>
      </c>
      <c r="B76" s="1">
        <v>1</v>
      </c>
      <c r="D76" s="15">
        <f>STDEV(N3:N94)</f>
        <v>13.372051626653318</v>
      </c>
      <c r="E76" s="15" t="str">
        <f t="shared" ca="1" si="43"/>
        <v>=STDEV(N3:N94)</v>
      </c>
      <c r="H76" s="8">
        <f t="shared" si="34"/>
        <v>2.173410900977867</v>
      </c>
      <c r="I76" s="39">
        <f t="shared" si="35"/>
        <v>8.7882086863287334</v>
      </c>
      <c r="J76" s="8">
        <f t="shared" si="36"/>
        <v>0.89783626074536926</v>
      </c>
      <c r="K76" s="8">
        <f t="shared" si="37"/>
        <v>0.89783626074536926</v>
      </c>
      <c r="L76" s="10">
        <f t="shared" si="41"/>
        <v>-0.10776756500551112</v>
      </c>
      <c r="M76" s="44">
        <f t="shared" si="42"/>
        <v>76</v>
      </c>
      <c r="N76" s="1" t="str">
        <f t="shared" si="38"/>
        <v/>
      </c>
      <c r="O76" s="1">
        <f t="shared" si="39"/>
        <v>150</v>
      </c>
      <c r="P76" s="5"/>
      <c r="Q76" s="5"/>
      <c r="R76" s="5"/>
      <c r="S76" s="5"/>
      <c r="AR76" s="1"/>
      <c r="AS76" s="1">
        <v>164</v>
      </c>
      <c r="AT76" s="1">
        <v>1</v>
      </c>
      <c r="AU76" s="27">
        <f>SUM(AT$2:AT76)/COUNTA(AS$2:AS76)</f>
        <v>0.53333333333333333</v>
      </c>
      <c r="AV76" s="27">
        <f t="shared" si="40"/>
        <v>0.86081871345029237</v>
      </c>
      <c r="AW76" s="27">
        <v>1</v>
      </c>
      <c r="AY76" s="13">
        <f t="shared" si="31"/>
        <v>4.381233256512612</v>
      </c>
      <c r="AZ76" s="36">
        <f t="shared" si="32"/>
        <v>79.936554918397476</v>
      </c>
      <c r="BA76" s="23">
        <f t="shared" si="33"/>
        <v>0.98764464337519398</v>
      </c>
    </row>
    <row r="77" spans="1:53" x14ac:dyDescent="0.2">
      <c r="A77" s="1">
        <v>136</v>
      </c>
      <c r="B77" s="1">
        <v>1</v>
      </c>
      <c r="D77" s="8">
        <f>D73+D75</f>
        <v>176.89926562350345</v>
      </c>
      <c r="E77" s="15" t="str">
        <f t="shared" ca="1" si="43"/>
        <v>=D73+D75</v>
      </c>
      <c r="G77" s="5" t="s">
        <v>70</v>
      </c>
      <c r="H77" s="8">
        <f t="shared" si="34"/>
        <v>-3.4411454556874332E-2</v>
      </c>
      <c r="I77" s="39">
        <f t="shared" si="35"/>
        <v>0.96617388619394851</v>
      </c>
      <c r="J77" s="8">
        <f t="shared" si="36"/>
        <v>0.49139798518239636</v>
      </c>
      <c r="K77" s="8">
        <f t="shared" si="37"/>
        <v>0.49139798518239636</v>
      </c>
      <c r="L77" s="10">
        <f t="shared" si="41"/>
        <v>-0.71050091906138757</v>
      </c>
      <c r="M77" s="44">
        <f t="shared" si="42"/>
        <v>77</v>
      </c>
      <c r="N77" s="1" t="str">
        <f t="shared" si="38"/>
        <v/>
      </c>
      <c r="O77" s="1">
        <f t="shared" si="39"/>
        <v>136</v>
      </c>
      <c r="P77" s="5"/>
      <c r="Q77" s="5"/>
      <c r="R77" s="5"/>
      <c r="S77" s="5"/>
      <c r="AR77" s="1"/>
      <c r="AS77" s="1">
        <v>165</v>
      </c>
      <c r="AT77" s="1">
        <v>1</v>
      </c>
      <c r="AU77" s="27">
        <f>SUM(AT$2:AT77)/COUNTA(AS$2:AS77)</f>
        <v>0.53947368421052633</v>
      </c>
      <c r="AV77" s="27">
        <f t="shared" si="40"/>
        <v>0.87072945521698986</v>
      </c>
      <c r="AW77" s="27">
        <v>1</v>
      </c>
      <c r="AY77" s="13">
        <f t="shared" si="31"/>
        <v>4.5389348533365208</v>
      </c>
      <c r="AZ77" s="36">
        <f t="shared" si="32"/>
        <v>93.591058805322035</v>
      </c>
      <c r="BA77" s="23">
        <f t="shared" si="33"/>
        <v>0.98942817627131019</v>
      </c>
    </row>
    <row r="78" spans="1:53" x14ac:dyDescent="0.2">
      <c r="A78" s="1">
        <v>130</v>
      </c>
      <c r="B78" s="1">
        <v>0</v>
      </c>
      <c r="D78" s="8">
        <f>D74-D76</f>
        <v>110.42794837334668</v>
      </c>
      <c r="E78" s="15" t="str">
        <f t="shared" ca="1" si="43"/>
        <v>=D74-D76</v>
      </c>
      <c r="G78" s="5" t="s">
        <v>71</v>
      </c>
      <c r="H78" s="8">
        <f t="shared" si="34"/>
        <v>-0.98062103550033441</v>
      </c>
      <c r="I78" s="39">
        <f t="shared" si="35"/>
        <v>0.3750780896963109</v>
      </c>
      <c r="J78" s="8">
        <f t="shared" si="36"/>
        <v>0.27276857402269261</v>
      </c>
      <c r="K78" s="8">
        <f t="shared" si="37"/>
        <v>0.72723142597730739</v>
      </c>
      <c r="L78" s="10">
        <f t="shared" si="41"/>
        <v>-0.31851052201230923</v>
      </c>
      <c r="M78" s="44">
        <f t="shared" si="42"/>
        <v>78</v>
      </c>
      <c r="N78" s="1">
        <f t="shared" si="38"/>
        <v>130</v>
      </c>
      <c r="O78" s="1" t="str">
        <f t="shared" si="39"/>
        <v/>
      </c>
      <c r="P78" s="5"/>
      <c r="Q78" s="5"/>
      <c r="R78" s="5"/>
      <c r="S78" s="5"/>
      <c r="AR78" s="1"/>
      <c r="AS78" s="1">
        <v>170</v>
      </c>
      <c r="AT78" s="1">
        <v>1</v>
      </c>
      <c r="AU78" s="27">
        <f>SUM(AT$2:AT78)/COUNTA(AS$2:AS78)</f>
        <v>0.54545454545454541</v>
      </c>
      <c r="AV78" s="27">
        <f t="shared" si="40"/>
        <v>0.88038277511961716</v>
      </c>
      <c r="AW78" s="27">
        <v>1</v>
      </c>
      <c r="AY78" s="13">
        <f t="shared" si="31"/>
        <v>5.3274428374560721</v>
      </c>
      <c r="AZ78" s="36">
        <f t="shared" si="32"/>
        <v>205.91075308343636</v>
      </c>
      <c r="BA78" s="23">
        <f t="shared" si="33"/>
        <v>0.99516699840342882</v>
      </c>
    </row>
    <row r="79" spans="1:53" x14ac:dyDescent="0.2">
      <c r="A79" s="1">
        <v>118</v>
      </c>
      <c r="B79" s="1">
        <v>0</v>
      </c>
      <c r="D79" s="22">
        <f>(D77-D33)/D33</f>
        <v>3.2935292320837958E-2</v>
      </c>
      <c r="E79" s="15" t="str">
        <f t="shared" ca="1" si="43"/>
        <v>=(D77-D33)/D33</v>
      </c>
      <c r="G79" s="5" t="s">
        <v>73</v>
      </c>
      <c r="H79" s="8">
        <f t="shared" si="34"/>
        <v>-2.8730401973872581</v>
      </c>
      <c r="I79" s="39">
        <f t="shared" si="35"/>
        <v>5.6526812414484491E-2</v>
      </c>
      <c r="J79" s="8">
        <f t="shared" si="36"/>
        <v>5.3502487348431382E-2</v>
      </c>
      <c r="K79" s="8">
        <f t="shared" si="37"/>
        <v>0.94649751265156867</v>
      </c>
      <c r="L79" s="10">
        <f t="shared" si="41"/>
        <v>-5.4986936279615969E-2</v>
      </c>
      <c r="M79" s="44">
        <f t="shared" si="42"/>
        <v>79</v>
      </c>
      <c r="N79" s="1">
        <f t="shared" si="38"/>
        <v>118</v>
      </c>
      <c r="O79" s="1" t="str">
        <f t="shared" si="39"/>
        <v/>
      </c>
      <c r="P79" s="5"/>
      <c r="Q79" s="5"/>
      <c r="R79" s="5"/>
      <c r="S79" s="5"/>
      <c r="AR79" s="1"/>
      <c r="AS79" s="1">
        <v>170</v>
      </c>
      <c r="AT79" s="1">
        <v>1</v>
      </c>
      <c r="AU79" s="27">
        <f>SUM(AT$2:AT79)/COUNTA(AS$2:AS79)</f>
        <v>0.55128205128205132</v>
      </c>
      <c r="AV79" s="27">
        <f t="shared" si="40"/>
        <v>0.88978857399910039</v>
      </c>
      <c r="AW79" s="27">
        <v>1</v>
      </c>
      <c r="AY79" s="13">
        <f t="shared" si="31"/>
        <v>5.3274428374560721</v>
      </c>
      <c r="AZ79" s="36">
        <f t="shared" si="32"/>
        <v>205.91075308343636</v>
      </c>
      <c r="BA79" s="23">
        <f t="shared" si="33"/>
        <v>0.99516699840342882</v>
      </c>
    </row>
    <row r="80" spans="1:53" x14ac:dyDescent="0.2">
      <c r="A80" s="1">
        <v>150</v>
      </c>
      <c r="B80" s="1">
        <v>0</v>
      </c>
      <c r="D80" s="22">
        <f>(D78-D31)/D31</f>
        <v>7.5921867669793724E-2</v>
      </c>
      <c r="E80" s="15" t="str">
        <f t="shared" ca="1" si="43"/>
        <v>=(D78-D31)/D31</v>
      </c>
      <c r="G80" s="5" t="s">
        <v>72</v>
      </c>
      <c r="H80" s="8">
        <f t="shared" si="34"/>
        <v>2.173410900977867</v>
      </c>
      <c r="I80" s="39">
        <f t="shared" si="35"/>
        <v>8.7882086863287334</v>
      </c>
      <c r="J80" s="8">
        <f t="shared" si="36"/>
        <v>0.89783626074536926</v>
      </c>
      <c r="K80" s="8">
        <f t="shared" si="37"/>
        <v>0.10216373925463074</v>
      </c>
      <c r="L80" s="10">
        <f t="shared" si="41"/>
        <v>-2.2811784659833778</v>
      </c>
      <c r="M80" s="44">
        <f t="shared" si="42"/>
        <v>80</v>
      </c>
      <c r="N80" s="1">
        <f t="shared" si="38"/>
        <v>150</v>
      </c>
      <c r="O80" s="1" t="str">
        <f t="shared" si="39"/>
        <v/>
      </c>
      <c r="P80" s="5"/>
      <c r="Q80" s="5"/>
      <c r="R80" s="5"/>
      <c r="S80" s="5"/>
      <c r="AR80" s="1"/>
      <c r="AS80" s="1">
        <v>170</v>
      </c>
      <c r="AT80" s="1">
        <v>1</v>
      </c>
      <c r="AU80" s="27">
        <f>SUM(AT$2:AT80)/COUNTA(AS$2:AS80)</f>
        <v>0.55696202531645567</v>
      </c>
      <c r="AV80" s="27">
        <f t="shared" si="40"/>
        <v>0.89895625138796353</v>
      </c>
      <c r="AW80" s="27">
        <v>1</v>
      </c>
      <c r="AY80" s="13">
        <f t="shared" si="31"/>
        <v>5.3274428374560721</v>
      </c>
      <c r="AZ80" s="36">
        <f t="shared" si="32"/>
        <v>205.91075308343636</v>
      </c>
      <c r="BA80" s="23">
        <f t="shared" si="33"/>
        <v>0.99516699840342882</v>
      </c>
    </row>
    <row r="81" spans="1:53" x14ac:dyDescent="0.2">
      <c r="A81" s="1">
        <v>95</v>
      </c>
      <c r="B81" s="1">
        <v>0</v>
      </c>
      <c r="H81" s="8">
        <f t="shared" si="34"/>
        <v>-6.5001769243371914</v>
      </c>
      <c r="I81" s="39">
        <f t="shared" si="35"/>
        <v>1.5031732215239526E-3</v>
      </c>
      <c r="J81" s="8">
        <f t="shared" si="36"/>
        <v>1.5009170831568233E-3</v>
      </c>
      <c r="K81" s="8">
        <f t="shared" si="37"/>
        <v>0.99849908291684319</v>
      </c>
      <c r="L81" s="10">
        <f t="shared" si="41"/>
        <v>-1.5020445875370085E-3</v>
      </c>
      <c r="M81" s="44">
        <f t="shared" si="42"/>
        <v>81</v>
      </c>
      <c r="N81" s="1">
        <f t="shared" si="38"/>
        <v>95</v>
      </c>
      <c r="O81" s="1" t="str">
        <f t="shared" si="39"/>
        <v/>
      </c>
      <c r="P81" s="5"/>
      <c r="Q81" s="5"/>
      <c r="R81" s="5"/>
      <c r="S81" s="5"/>
      <c r="AR81" s="1"/>
      <c r="AS81" s="1">
        <v>170</v>
      </c>
      <c r="AT81" s="1">
        <v>1</v>
      </c>
      <c r="AU81" s="27">
        <f>SUM(AT$2:AT81)/COUNTA(AS$2:AS81)</f>
        <v>0.5625</v>
      </c>
      <c r="AV81" s="27">
        <f t="shared" si="40"/>
        <v>0.90789473684210531</v>
      </c>
      <c r="AW81" s="27">
        <v>1</v>
      </c>
      <c r="AY81" s="13">
        <f t="shared" si="31"/>
        <v>5.3274428374560721</v>
      </c>
      <c r="AZ81" s="36">
        <f t="shared" si="32"/>
        <v>205.91075308343636</v>
      </c>
      <c r="BA81" s="23">
        <f t="shared" si="33"/>
        <v>0.99516699840342882</v>
      </c>
    </row>
    <row r="82" spans="1:53" x14ac:dyDescent="0.2">
      <c r="A82" s="1">
        <v>150</v>
      </c>
      <c r="B82" s="1">
        <v>0</v>
      </c>
      <c r="H82" s="8">
        <f t="shared" si="34"/>
        <v>2.173410900977867</v>
      </c>
      <c r="I82" s="39">
        <f t="shared" si="35"/>
        <v>8.7882086863287334</v>
      </c>
      <c r="J82" s="8">
        <f t="shared" si="36"/>
        <v>0.89783626074536926</v>
      </c>
      <c r="K82" s="8">
        <f t="shared" si="37"/>
        <v>0.10216373925463074</v>
      </c>
      <c r="L82" s="10">
        <f t="shared" si="41"/>
        <v>-2.2811784659833778</v>
      </c>
      <c r="M82" s="44">
        <f t="shared" si="42"/>
        <v>82</v>
      </c>
      <c r="N82" s="1">
        <f t="shared" si="38"/>
        <v>150</v>
      </c>
      <c r="O82" s="1" t="str">
        <f t="shared" si="39"/>
        <v/>
      </c>
      <c r="P82" s="5"/>
      <c r="Q82" s="5"/>
      <c r="R82" s="5"/>
      <c r="S82" s="5"/>
      <c r="AR82" s="1"/>
      <c r="AS82" s="1">
        <v>175</v>
      </c>
      <c r="AT82" s="1">
        <v>1</v>
      </c>
      <c r="AU82" s="27">
        <f>SUM(AT$2:AT82)/COUNTA(AS$2:AS82)</f>
        <v>0.5679012345679012</v>
      </c>
      <c r="AV82" s="27">
        <f t="shared" si="40"/>
        <v>0.91661251895170026</v>
      </c>
      <c r="AW82" s="27">
        <v>1</v>
      </c>
      <c r="AY82" s="13">
        <f t="shared" si="31"/>
        <v>6.1159508215756233</v>
      </c>
      <c r="AZ82" s="36">
        <f t="shared" si="32"/>
        <v>453.02659011030312</v>
      </c>
      <c r="BA82" s="23">
        <f t="shared" si="33"/>
        <v>0.99779748582620009</v>
      </c>
    </row>
    <row r="83" spans="1:53" x14ac:dyDescent="0.2">
      <c r="A83" s="1">
        <v>155</v>
      </c>
      <c r="B83" s="1">
        <v>1</v>
      </c>
      <c r="H83" s="8">
        <f t="shared" si="34"/>
        <v>2.9619188850974183</v>
      </c>
      <c r="I83" s="39">
        <f t="shared" si="35"/>
        <v>19.335037897374924</v>
      </c>
      <c r="J83" s="8">
        <f t="shared" si="36"/>
        <v>0.95082379462252731</v>
      </c>
      <c r="K83" s="8">
        <f t="shared" si="37"/>
        <v>0.95082379462252731</v>
      </c>
      <c r="L83" s="10">
        <f t="shared" si="41"/>
        <v>-5.0426517912598619E-2</v>
      </c>
      <c r="M83" s="44">
        <f t="shared" si="42"/>
        <v>83</v>
      </c>
      <c r="N83" s="1" t="str">
        <f t="shared" si="38"/>
        <v/>
      </c>
      <c r="O83" s="1">
        <f t="shared" si="39"/>
        <v>155</v>
      </c>
      <c r="P83" s="5"/>
      <c r="Q83" s="5"/>
      <c r="R83" s="5"/>
      <c r="S83" s="5"/>
      <c r="AR83" s="1"/>
      <c r="AS83" s="1">
        <v>175</v>
      </c>
      <c r="AT83" s="1">
        <v>1</v>
      </c>
      <c r="AU83" s="27">
        <f>SUM(AT$2:AT83)/COUNTA(AS$2:AS83)</f>
        <v>0.57317073170731703</v>
      </c>
      <c r="AV83" s="27">
        <f t="shared" si="40"/>
        <v>0.92511767222935382</v>
      </c>
      <c r="AW83" s="27">
        <v>1</v>
      </c>
      <c r="AY83" s="13">
        <f t="shared" si="31"/>
        <v>6.1159508215756233</v>
      </c>
      <c r="AZ83" s="36">
        <f t="shared" si="32"/>
        <v>453.02659011030312</v>
      </c>
      <c r="BA83" s="23">
        <f t="shared" si="33"/>
        <v>0.99779748582620009</v>
      </c>
    </row>
    <row r="84" spans="1:53" x14ac:dyDescent="0.2">
      <c r="A84" s="1">
        <v>135</v>
      </c>
      <c r="B84" s="1">
        <v>0</v>
      </c>
      <c r="H84" s="8">
        <f t="shared" si="34"/>
        <v>-0.19211305138078316</v>
      </c>
      <c r="I84" s="39">
        <f t="shared" si="35"/>
        <v>0.82521357168439535</v>
      </c>
      <c r="J84" s="8">
        <f t="shared" si="36"/>
        <v>0.45211891062307208</v>
      </c>
      <c r="K84" s="8">
        <f t="shared" si="37"/>
        <v>0.54788108937692792</v>
      </c>
      <c r="L84" s="10">
        <f t="shared" si="41"/>
        <v>-0.60169700576798635</v>
      </c>
      <c r="M84" s="44">
        <f t="shared" si="42"/>
        <v>84</v>
      </c>
      <c r="N84" s="1">
        <f t="shared" si="38"/>
        <v>135</v>
      </c>
      <c r="O84" s="1" t="str">
        <f t="shared" si="39"/>
        <v/>
      </c>
      <c r="P84" s="5"/>
      <c r="Q84" s="5"/>
      <c r="R84" s="5"/>
      <c r="S84" s="5"/>
      <c r="AR84" s="1"/>
      <c r="AS84" s="1">
        <v>180</v>
      </c>
      <c r="AT84" s="1">
        <v>1</v>
      </c>
      <c r="AU84" s="27">
        <f>SUM(AT$2:AT84)/COUNTA(AS$2:AS84)</f>
        <v>0.57831325301204817</v>
      </c>
      <c r="AV84" s="27">
        <f t="shared" si="40"/>
        <v>0.93341788205453391</v>
      </c>
      <c r="AW84" s="27">
        <v>1</v>
      </c>
      <c r="AY84" s="13">
        <f t="shared" si="31"/>
        <v>6.9044588056951746</v>
      </c>
      <c r="AZ84" s="36">
        <f t="shared" si="32"/>
        <v>996.7089541157028</v>
      </c>
      <c r="BA84" s="23">
        <f t="shared" si="33"/>
        <v>0.99899770369317142</v>
      </c>
    </row>
    <row r="85" spans="1:53" x14ac:dyDescent="0.2">
      <c r="A85" s="1">
        <v>160</v>
      </c>
      <c r="B85" s="1">
        <v>1</v>
      </c>
      <c r="H85" s="8">
        <f t="shared" si="34"/>
        <v>3.7504268692169695</v>
      </c>
      <c r="I85" s="39">
        <f t="shared" si="35"/>
        <v>42.539236815631121</v>
      </c>
      <c r="J85" s="8">
        <f t="shared" si="36"/>
        <v>0.97703221110111449</v>
      </c>
      <c r="K85" s="8">
        <f t="shared" si="37"/>
        <v>0.97703221110111449</v>
      </c>
      <c r="L85" s="10">
        <f t="shared" si="41"/>
        <v>-2.3235658085581676E-2</v>
      </c>
      <c r="M85" s="44">
        <f t="shared" si="42"/>
        <v>85</v>
      </c>
      <c r="N85" s="1" t="str">
        <f t="shared" si="38"/>
        <v/>
      </c>
      <c r="O85" s="1">
        <f t="shared" si="39"/>
        <v>160</v>
      </c>
      <c r="P85" s="5"/>
      <c r="Q85" s="5"/>
      <c r="R85" s="5"/>
      <c r="S85" s="5"/>
      <c r="AR85" s="1"/>
      <c r="AS85" s="1">
        <v>180</v>
      </c>
      <c r="AT85" s="1">
        <v>1</v>
      </c>
      <c r="AU85" s="27">
        <f>SUM(AT$2:AT85)/COUNTA(AS$2:AS85)</f>
        <v>0.58333333333333337</v>
      </c>
      <c r="AV85" s="27">
        <f t="shared" si="40"/>
        <v>0.94152046783625742</v>
      </c>
      <c r="AW85" s="27">
        <v>1</v>
      </c>
      <c r="AY85" s="13">
        <f t="shared" si="31"/>
        <v>6.9044588056951746</v>
      </c>
      <c r="AZ85" s="36">
        <f t="shared" si="32"/>
        <v>996.7089541157028</v>
      </c>
      <c r="BA85" s="23">
        <f t="shared" si="33"/>
        <v>0.99899770369317142</v>
      </c>
    </row>
    <row r="86" spans="1:53" x14ac:dyDescent="0.2">
      <c r="A86" s="1">
        <v>140</v>
      </c>
      <c r="B86" s="1">
        <v>1</v>
      </c>
      <c r="H86" s="8">
        <f t="shared" si="34"/>
        <v>0.59639493273876809</v>
      </c>
      <c r="I86" s="39">
        <f t="shared" si="35"/>
        <v>1.8155617659338168</v>
      </c>
      <c r="J86" s="8">
        <f t="shared" si="36"/>
        <v>0.64483109122333993</v>
      </c>
      <c r="K86" s="8">
        <f t="shared" si="37"/>
        <v>0.64483109122333993</v>
      </c>
      <c r="L86" s="10">
        <f t="shared" si="41"/>
        <v>-0.43876687055370811</v>
      </c>
      <c r="M86" s="44">
        <f t="shared" si="42"/>
        <v>86</v>
      </c>
      <c r="N86" s="1" t="str">
        <f t="shared" si="38"/>
        <v/>
      </c>
      <c r="O86" s="1">
        <f t="shared" si="39"/>
        <v>140</v>
      </c>
      <c r="P86" s="5"/>
      <c r="Q86" s="5"/>
      <c r="R86" s="5"/>
      <c r="S86" s="5"/>
      <c r="AR86" s="1"/>
      <c r="AS86" s="1">
        <v>180</v>
      </c>
      <c r="AT86" s="1">
        <v>1</v>
      </c>
      <c r="AU86" s="27">
        <f>SUM(AT$2:AT86)/COUNTA(AS$2:AS86)</f>
        <v>0.58823529411764708</v>
      </c>
      <c r="AV86" s="27">
        <f t="shared" si="40"/>
        <v>0.94943240454076372</v>
      </c>
      <c r="AW86" s="27">
        <v>1</v>
      </c>
      <c r="AY86" s="13">
        <f t="shared" si="31"/>
        <v>6.9044588056951746</v>
      </c>
      <c r="AZ86" s="36">
        <f t="shared" si="32"/>
        <v>996.7089541157028</v>
      </c>
      <c r="BA86" s="23">
        <f t="shared" si="33"/>
        <v>0.99899770369317142</v>
      </c>
    </row>
    <row r="87" spans="1:53" x14ac:dyDescent="0.2">
      <c r="A87" s="1">
        <v>145</v>
      </c>
      <c r="B87" s="1">
        <v>1</v>
      </c>
      <c r="H87" s="8">
        <f t="shared" si="34"/>
        <v>1.3849029168583193</v>
      </c>
      <c r="I87" s="39">
        <f t="shared" si="35"/>
        <v>3.9944380933926062</v>
      </c>
      <c r="J87" s="8">
        <f t="shared" si="36"/>
        <v>0.79977727598166637</v>
      </c>
      <c r="K87" s="8">
        <f t="shared" si="37"/>
        <v>0.79977727598166637</v>
      </c>
      <c r="L87" s="10">
        <f t="shared" si="41"/>
        <v>-0.22342199509899968</v>
      </c>
      <c r="M87" s="44">
        <f t="shared" si="42"/>
        <v>87</v>
      </c>
      <c r="N87" s="1" t="str">
        <f t="shared" si="38"/>
        <v/>
      </c>
      <c r="O87" s="1">
        <f t="shared" si="39"/>
        <v>145</v>
      </c>
      <c r="P87" s="5"/>
      <c r="Q87" s="5"/>
      <c r="R87" s="5"/>
      <c r="S87" s="5"/>
      <c r="AR87" s="1"/>
      <c r="AS87" s="1">
        <v>185</v>
      </c>
      <c r="AT87" s="1">
        <v>1</v>
      </c>
      <c r="AU87" s="27">
        <f>SUM(AT$2:AT87)/COUNTA(AS$2:AS87)</f>
        <v>0.59302325581395354</v>
      </c>
      <c r="AV87" s="27">
        <f t="shared" si="40"/>
        <v>0.95716034271725836</v>
      </c>
      <c r="AW87" s="27">
        <v>1</v>
      </c>
      <c r="AY87" s="13">
        <f t="shared" si="31"/>
        <v>7.6929667898147258</v>
      </c>
      <c r="AZ87" s="36">
        <f t="shared" si="32"/>
        <v>2192.8707075947523</v>
      </c>
      <c r="BA87" s="23">
        <f t="shared" si="33"/>
        <v>0.99954418462467354</v>
      </c>
    </row>
    <row r="88" spans="1:53" x14ac:dyDescent="0.2">
      <c r="A88" s="1">
        <v>125</v>
      </c>
      <c r="B88" s="1">
        <v>0</v>
      </c>
      <c r="H88" s="8">
        <f t="shared" si="34"/>
        <v>-1.7691290196198857</v>
      </c>
      <c r="I88" s="39">
        <f t="shared" si="35"/>
        <v>0.17048141014340779</v>
      </c>
      <c r="J88" s="8">
        <f t="shared" si="36"/>
        <v>0.14565067729056913</v>
      </c>
      <c r="K88" s="8">
        <f t="shared" si="37"/>
        <v>0.85434932270943087</v>
      </c>
      <c r="L88" s="10">
        <f t="shared" si="41"/>
        <v>-0.15741512584356088</v>
      </c>
      <c r="M88" s="44">
        <f t="shared" si="42"/>
        <v>88</v>
      </c>
      <c r="N88" s="1">
        <f t="shared" si="38"/>
        <v>125</v>
      </c>
      <c r="O88" s="1" t="str">
        <f t="shared" si="39"/>
        <v/>
      </c>
      <c r="P88" s="5"/>
      <c r="Q88" s="5"/>
      <c r="R88" s="5"/>
      <c r="S88" s="5"/>
      <c r="AR88" s="1"/>
      <c r="AS88" s="1">
        <v>190</v>
      </c>
      <c r="AT88" s="1">
        <v>1</v>
      </c>
      <c r="AU88" s="27">
        <f>SUM(AT$2:AT88)/COUNTA(AS$2:AS88)</f>
        <v>0.5977011494252874</v>
      </c>
      <c r="AV88" s="27">
        <f t="shared" si="40"/>
        <v>0.96471062714256917</v>
      </c>
      <c r="AW88" s="27">
        <v>1</v>
      </c>
      <c r="AY88" s="13">
        <f t="shared" si="31"/>
        <v>8.4814747739342771</v>
      </c>
      <c r="AZ88" s="36">
        <f t="shared" si="32"/>
        <v>4824.5597878604931</v>
      </c>
      <c r="BA88" s="23">
        <f t="shared" si="33"/>
        <v>0.99979277015642498</v>
      </c>
    </row>
    <row r="89" spans="1:53" x14ac:dyDescent="0.2">
      <c r="A89" s="1">
        <v>153</v>
      </c>
      <c r="B89" s="1">
        <v>1</v>
      </c>
      <c r="H89" s="8">
        <f t="shared" si="34"/>
        <v>2.6465156914496006</v>
      </c>
      <c r="I89" s="39">
        <f t="shared" si="35"/>
        <v>14.104807425688129</v>
      </c>
      <c r="J89" s="8">
        <f t="shared" si="36"/>
        <v>0.93379591200220524</v>
      </c>
      <c r="K89" s="8">
        <f t="shared" si="37"/>
        <v>0.93379591200220524</v>
      </c>
      <c r="L89" s="10">
        <f t="shared" si="41"/>
        <v>-6.8497374263615907E-2</v>
      </c>
      <c r="M89" s="44">
        <f t="shared" si="42"/>
        <v>89</v>
      </c>
      <c r="N89" s="1" t="str">
        <f t="shared" si="38"/>
        <v/>
      </c>
      <c r="O89" s="1">
        <f t="shared" si="39"/>
        <v>153</v>
      </c>
      <c r="P89" s="5"/>
      <c r="Q89" s="5"/>
      <c r="R89" s="5"/>
      <c r="S89" s="5"/>
      <c r="AR89" s="1"/>
      <c r="AS89" s="1">
        <v>190</v>
      </c>
      <c r="AT89" s="1">
        <v>1</v>
      </c>
      <c r="AU89" s="27">
        <f>SUM(AT$2:AT89)/COUNTA(AS$2:AS89)</f>
        <v>0.60227272727272729</v>
      </c>
      <c r="AV89" s="27">
        <f t="shared" si="40"/>
        <v>0.97208931419457745</v>
      </c>
      <c r="AW89" s="27">
        <v>1</v>
      </c>
      <c r="AY89" s="13">
        <f t="shared" si="31"/>
        <v>8.4814747739342771</v>
      </c>
      <c r="AZ89" s="36">
        <f t="shared" si="32"/>
        <v>4824.5597878604931</v>
      </c>
      <c r="BA89" s="23">
        <f t="shared" si="33"/>
        <v>0.99979277015642498</v>
      </c>
    </row>
    <row r="90" spans="1:53" x14ac:dyDescent="0.2">
      <c r="A90" s="1">
        <v>150</v>
      </c>
      <c r="B90" s="1">
        <v>1</v>
      </c>
      <c r="H90" s="8">
        <f t="shared" si="34"/>
        <v>2.173410900977867</v>
      </c>
      <c r="I90" s="39">
        <f t="shared" si="35"/>
        <v>8.7882086863287334</v>
      </c>
      <c r="J90" s="8">
        <f t="shared" si="36"/>
        <v>0.89783626074536926</v>
      </c>
      <c r="K90" s="8">
        <f t="shared" si="37"/>
        <v>0.89783626074536926</v>
      </c>
      <c r="L90" s="10">
        <f t="shared" si="41"/>
        <v>-0.10776756500551112</v>
      </c>
      <c r="M90" s="44">
        <f t="shared" si="42"/>
        <v>90</v>
      </c>
      <c r="N90" s="1" t="str">
        <f t="shared" si="38"/>
        <v/>
      </c>
      <c r="O90" s="1">
        <f t="shared" si="39"/>
        <v>150</v>
      </c>
      <c r="P90" s="5"/>
      <c r="Q90" s="5"/>
      <c r="R90" s="5"/>
      <c r="S90" s="5"/>
      <c r="AR90" s="1"/>
      <c r="AS90" s="1">
        <v>190</v>
      </c>
      <c r="AT90" s="1">
        <v>1</v>
      </c>
      <c r="AU90" s="27">
        <f>SUM(AT$2:AT90)/COUNTA(AS$2:AS90)</f>
        <v>0.6067415730337079</v>
      </c>
      <c r="AV90" s="27">
        <f t="shared" si="40"/>
        <v>0.97930218805440583</v>
      </c>
      <c r="AW90" s="27">
        <v>1</v>
      </c>
      <c r="AY90" s="13">
        <f t="shared" si="31"/>
        <v>8.4814747739342771</v>
      </c>
      <c r="AZ90" s="36">
        <f t="shared" si="32"/>
        <v>4824.5597878604931</v>
      </c>
      <c r="BA90" s="23">
        <f t="shared" si="33"/>
        <v>0.99979277015642498</v>
      </c>
    </row>
    <row r="91" spans="1:53" x14ac:dyDescent="0.2">
      <c r="A91" s="1">
        <v>131</v>
      </c>
      <c r="B91" s="1">
        <v>0</v>
      </c>
      <c r="H91" s="8">
        <f t="shared" si="34"/>
        <v>-0.82291943867642559</v>
      </c>
      <c r="I91" s="39">
        <f t="shared" si="35"/>
        <v>0.43914771640072364</v>
      </c>
      <c r="J91" s="8">
        <f t="shared" si="36"/>
        <v>0.30514429574958596</v>
      </c>
      <c r="K91" s="8">
        <f t="shared" si="37"/>
        <v>0.69485570425041399</v>
      </c>
      <c r="L91" s="10">
        <f t="shared" si="41"/>
        <v>-0.36405107475689286</v>
      </c>
      <c r="M91" s="44">
        <f t="shared" si="42"/>
        <v>91</v>
      </c>
      <c r="N91" s="1">
        <f t="shared" si="38"/>
        <v>131</v>
      </c>
      <c r="O91" s="1" t="str">
        <f t="shared" si="39"/>
        <v/>
      </c>
      <c r="P91" s="5"/>
      <c r="Q91" s="5"/>
      <c r="R91" s="5"/>
      <c r="S91" s="5"/>
      <c r="AR91" s="1"/>
      <c r="AS91" s="1">
        <v>190</v>
      </c>
      <c r="AT91" s="1">
        <v>1</v>
      </c>
      <c r="AU91" s="27">
        <f>SUM(AT$2:AT91)/COUNTA(AS$2:AS91)</f>
        <v>0.61111111111111116</v>
      </c>
      <c r="AV91" s="27">
        <f t="shared" si="40"/>
        <v>0.98635477582846021</v>
      </c>
      <c r="AW91" s="27">
        <v>1</v>
      </c>
      <c r="AY91" s="13">
        <f t="shared" si="31"/>
        <v>8.4814747739342771</v>
      </c>
      <c r="AZ91" s="36">
        <f t="shared" si="32"/>
        <v>4824.5597878604931</v>
      </c>
      <c r="BA91" s="23">
        <f t="shared" si="33"/>
        <v>0.99979277015642498</v>
      </c>
    </row>
    <row r="92" spans="1:53" x14ac:dyDescent="0.2">
      <c r="A92" s="1">
        <v>140</v>
      </c>
      <c r="B92" s="1">
        <v>0</v>
      </c>
      <c r="H92" s="8">
        <f t="shared" si="34"/>
        <v>0.59639493273876809</v>
      </c>
      <c r="I92" s="39">
        <f t="shared" si="35"/>
        <v>1.8155617659338168</v>
      </c>
      <c r="J92" s="8">
        <f t="shared" si="36"/>
        <v>0.64483109122333993</v>
      </c>
      <c r="K92" s="8">
        <f t="shared" si="37"/>
        <v>0.35516890877666007</v>
      </c>
      <c r="L92" s="10">
        <f t="shared" si="41"/>
        <v>-1.0351618032924768</v>
      </c>
      <c r="M92" s="44">
        <f t="shared" si="42"/>
        <v>92</v>
      </c>
      <c r="N92" s="1">
        <f t="shared" si="38"/>
        <v>140</v>
      </c>
      <c r="O92" s="1" t="str">
        <f t="shared" si="39"/>
        <v/>
      </c>
      <c r="P92" s="5"/>
      <c r="Q92" s="5"/>
      <c r="R92" s="5"/>
      <c r="S92" s="5"/>
      <c r="AR92" s="1"/>
      <c r="AS92" s="1">
        <v>195</v>
      </c>
      <c r="AT92" s="1">
        <v>1</v>
      </c>
      <c r="AU92" s="27">
        <f>SUM(AT$2:AT92)/COUNTA(AS$2:AS92)</f>
        <v>0.61538461538461542</v>
      </c>
      <c r="AV92" s="27">
        <f t="shared" si="40"/>
        <v>0.99325236167341435</v>
      </c>
      <c r="AW92" s="27">
        <v>1</v>
      </c>
      <c r="AY92" s="13">
        <f t="shared" si="31"/>
        <v>9.2699827580538283</v>
      </c>
      <c r="AZ92" s="36">
        <f t="shared" si="32"/>
        <v>10614.568869028833</v>
      </c>
      <c r="BA92" s="23">
        <f t="shared" si="33"/>
        <v>0.99990579873652208</v>
      </c>
    </row>
    <row r="93" spans="1:53" x14ac:dyDescent="0.2">
      <c r="A93" s="1">
        <v>116</v>
      </c>
      <c r="B93" s="1">
        <v>0</v>
      </c>
      <c r="H93" s="8">
        <f t="shared" si="34"/>
        <v>-3.1884433910350793</v>
      </c>
      <c r="I93" s="39">
        <f t="shared" si="35"/>
        <v>4.1236009348735003E-2</v>
      </c>
      <c r="J93" s="8">
        <f t="shared" si="36"/>
        <v>3.9602942059722861E-2</v>
      </c>
      <c r="K93" s="8">
        <f t="shared" si="37"/>
        <v>0.96039705794027719</v>
      </c>
      <c r="L93" s="10">
        <f t="shared" si="41"/>
        <v>-4.0408478008871811E-2</v>
      </c>
      <c r="M93" s="44">
        <f t="shared" si="42"/>
        <v>93</v>
      </c>
      <c r="N93" s="1">
        <f t="shared" si="38"/>
        <v>116</v>
      </c>
      <c r="O93" s="1" t="str">
        <f t="shared" si="39"/>
        <v/>
      </c>
      <c r="P93" s="5"/>
      <c r="Q93" s="5"/>
      <c r="R93" s="5"/>
      <c r="S93" s="5"/>
      <c r="AR93" s="1"/>
      <c r="AS93" s="1">
        <v>215</v>
      </c>
      <c r="AT93" s="1">
        <v>1</v>
      </c>
      <c r="AU93" s="27">
        <f>SUM(AT$2:AT93)/COUNTA(AS$2:AS93)</f>
        <v>0.61956521739130432</v>
      </c>
      <c r="AV93" s="27">
        <f t="shared" si="40"/>
        <v>1</v>
      </c>
      <c r="AW93" s="27">
        <v>1</v>
      </c>
      <c r="AY93" s="13">
        <f t="shared" si="31"/>
        <v>12.424014694532033</v>
      </c>
      <c r="AZ93" s="36">
        <f t="shared" si="32"/>
        <v>248703.00051907182</v>
      </c>
      <c r="BA93" s="23">
        <f t="shared" si="33"/>
        <v>0.99999597915595284</v>
      </c>
    </row>
    <row r="94" spans="1:53" x14ac:dyDescent="0.2">
      <c r="A94" s="1">
        <v>121</v>
      </c>
      <c r="B94" s="1">
        <v>0</v>
      </c>
      <c r="H94" s="8">
        <f t="shared" si="34"/>
        <v>-2.3999354069155281</v>
      </c>
      <c r="I94" s="39">
        <f t="shared" si="35"/>
        <v>9.0723813231086262E-2</v>
      </c>
      <c r="J94" s="8">
        <f t="shared" si="36"/>
        <v>8.3177622172135562E-2</v>
      </c>
      <c r="K94" s="8">
        <f t="shared" si="37"/>
        <v>0.91682237782786447</v>
      </c>
      <c r="L94" s="10">
        <f t="shared" si="41"/>
        <v>-8.6841524694040967E-2</v>
      </c>
      <c r="M94" s="44">
        <f t="shared" si="42"/>
        <v>94</v>
      </c>
      <c r="N94" s="1">
        <f t="shared" si="38"/>
        <v>121</v>
      </c>
      <c r="O94" s="1" t="str">
        <f t="shared" si="39"/>
        <v/>
      </c>
      <c r="P94" s="5"/>
      <c r="Q94" s="5"/>
      <c r="R94" s="5"/>
      <c r="S94" s="5"/>
      <c r="AS94" s="1"/>
      <c r="AT94" s="1"/>
    </row>
    <row r="95" spans="1:53" x14ac:dyDescent="0.2">
      <c r="M95" s="44"/>
      <c r="AS95" s="1"/>
      <c r="AT95" s="1"/>
    </row>
    <row r="96" spans="1:53" x14ac:dyDescent="0.2">
      <c r="M96" s="44"/>
      <c r="AS96" s="1"/>
      <c r="AT96" s="1"/>
    </row>
    <row r="97" spans="13:46" x14ac:dyDescent="0.2">
      <c r="M97" s="10"/>
      <c r="AS97" s="1"/>
      <c r="AT97" s="1"/>
    </row>
    <row r="98" spans="13:46" x14ac:dyDescent="0.2">
      <c r="M98" s="10"/>
      <c r="AS98" s="1"/>
      <c r="AT98" s="1"/>
    </row>
    <row r="99" spans="13:46" x14ac:dyDescent="0.2">
      <c r="M99" s="10"/>
      <c r="AS99" s="1"/>
      <c r="AT99" s="1"/>
    </row>
    <row r="100" spans="13:46" x14ac:dyDescent="0.2">
      <c r="M100" s="10"/>
      <c r="AS100" s="1"/>
      <c r="AT100" s="1"/>
    </row>
    <row r="101" spans="13:46" x14ac:dyDescent="0.2">
      <c r="M101" s="10"/>
      <c r="AS101" s="1"/>
      <c r="AT101" s="1"/>
    </row>
    <row r="102" spans="13:46" x14ac:dyDescent="0.2">
      <c r="M102" s="10"/>
      <c r="AS102" s="1"/>
      <c r="AT102" s="1"/>
    </row>
    <row r="103" spans="13:46" x14ac:dyDescent="0.2">
      <c r="M103" s="10"/>
      <c r="AS103" s="1"/>
      <c r="AT103" s="1"/>
    </row>
    <row r="104" spans="13:46" x14ac:dyDescent="0.2">
      <c r="M104" s="10"/>
      <c r="AS104" s="1"/>
      <c r="AT104" s="1"/>
    </row>
    <row r="105" spans="13:46" x14ac:dyDescent="0.2">
      <c r="M105" s="10"/>
      <c r="AS105" s="1"/>
      <c r="AT105" s="1"/>
    </row>
    <row r="106" spans="13:46" x14ac:dyDescent="0.2">
      <c r="AS106" s="1"/>
      <c r="AT106" s="1"/>
    </row>
    <row r="107" spans="13:46" x14ac:dyDescent="0.2">
      <c r="AS107" s="1"/>
      <c r="AT107" s="1"/>
    </row>
    <row r="108" spans="13:46" x14ac:dyDescent="0.2">
      <c r="AS108" s="1"/>
      <c r="AT108" s="1"/>
    </row>
    <row r="109" spans="13:46" x14ac:dyDescent="0.2">
      <c r="AS109" s="1"/>
      <c r="AT109" s="1"/>
    </row>
    <row r="110" spans="13:46" x14ac:dyDescent="0.2">
      <c r="AS110" s="1"/>
      <c r="AT110" s="1"/>
    </row>
    <row r="111" spans="13:46" x14ac:dyDescent="0.2">
      <c r="AS111" s="1"/>
      <c r="AT111" s="1"/>
    </row>
    <row r="112" spans="13:46" x14ac:dyDescent="0.2">
      <c r="AS112" s="1"/>
      <c r="AT112" s="1"/>
    </row>
  </sheetData>
  <sortState ref="AS2:AT93">
    <sortCondition ref="AS1"/>
  </sortState>
  <pageMargins left="0.75" right="0.75" top="1" bottom="1" header="0.5" footer="0.5"/>
  <pageSetup orientation="portrait" horizontalDpi="1200" verticalDpi="1200" r:id="rId1"/>
  <headerFooter alignWithMargins="0">
    <oddHeader>&amp;L10/27/2014&amp;CMLE and OLS-Based Logistic Models:
Model Gender based on Weight&amp;RV0B</oddHeader>
    <oddFooter xml:space="preserve">&amp;L2014-Schield-Logistic-MLE-OLS-Excel2013-V0B.xlsx&amp;R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2"/>
  <sheetViews>
    <sheetView zoomScaleNormal="100" workbookViewId="0"/>
  </sheetViews>
  <sheetFormatPr defaultRowHeight="12.75" x14ac:dyDescent="0.2"/>
  <cols>
    <col min="1" max="1" width="6.85546875" style="1" customWidth="1"/>
    <col min="2" max="2" width="4.5703125" style="1" customWidth="1"/>
    <col min="3" max="3" width="2.85546875" customWidth="1"/>
    <col min="4" max="4" width="9.7109375" style="1" customWidth="1"/>
    <col min="5" max="5" width="9.85546875" style="1" customWidth="1"/>
    <col min="6" max="6" width="9.140625" style="1" customWidth="1"/>
    <col min="7" max="7" width="12.28515625" style="1" customWidth="1"/>
    <col min="8" max="8" width="6" style="1" customWidth="1"/>
    <col min="9" max="9" width="6.42578125" style="8" customWidth="1"/>
    <col min="10" max="10" width="7" style="1" customWidth="1"/>
    <col min="11" max="11" width="5.28515625" style="1" customWidth="1"/>
    <col min="12" max="12" width="7.85546875" style="8" customWidth="1"/>
    <col min="13" max="13" width="3.140625" style="8" customWidth="1"/>
    <col min="14" max="14" width="5.85546875" style="1" customWidth="1"/>
    <col min="15" max="15" width="5.7109375" style="1" customWidth="1"/>
    <col min="16" max="16" width="2.42578125" style="1" customWidth="1"/>
    <col min="17" max="17" width="6.7109375" style="1" customWidth="1"/>
    <col min="18" max="18" width="6" style="1" customWidth="1"/>
    <col min="19" max="19" width="7.7109375" style="1" customWidth="1"/>
    <col min="27" max="27" width="11.140625" customWidth="1"/>
    <col min="28" max="28" width="6.85546875" customWidth="1"/>
    <col min="29" max="29" width="10.85546875" customWidth="1"/>
    <col min="30" max="30" width="9.7109375" customWidth="1"/>
    <col min="31" max="31" width="12.5703125" customWidth="1"/>
    <col min="32" max="33" width="9.140625" customWidth="1"/>
    <col min="35" max="35" width="11.42578125" bestFit="1" customWidth="1"/>
    <col min="43" max="43" width="5.42578125" customWidth="1"/>
    <col min="52" max="52" width="9.140625" style="41"/>
  </cols>
  <sheetData>
    <row r="1" spans="1:53" ht="13.5" thickBot="1" x14ac:dyDescent="0.25">
      <c r="A1" s="5" t="s">
        <v>105</v>
      </c>
      <c r="B1" s="5" t="s">
        <v>33</v>
      </c>
      <c r="C1" s="6" t="s">
        <v>106</v>
      </c>
      <c r="D1" s="5" t="s">
        <v>75</v>
      </c>
      <c r="E1" s="5" t="s">
        <v>76</v>
      </c>
      <c r="F1" s="5" t="s">
        <v>77</v>
      </c>
      <c r="G1" s="5" t="s">
        <v>78</v>
      </c>
      <c r="H1" s="5" t="s">
        <v>107</v>
      </c>
      <c r="I1" s="37" t="s">
        <v>108</v>
      </c>
      <c r="J1" s="5" t="s">
        <v>109</v>
      </c>
      <c r="K1" s="5" t="s">
        <v>110</v>
      </c>
      <c r="L1" s="10" t="s">
        <v>121</v>
      </c>
      <c r="M1" s="10" t="s">
        <v>129</v>
      </c>
      <c r="N1" s="5" t="s">
        <v>111</v>
      </c>
      <c r="O1" s="5" t="s">
        <v>112</v>
      </c>
      <c r="P1" s="72" t="s">
        <v>113</v>
      </c>
      <c r="Q1" s="5" t="s">
        <v>114</v>
      </c>
      <c r="R1" s="5" t="s">
        <v>115</v>
      </c>
      <c r="S1" s="5" t="s">
        <v>116</v>
      </c>
      <c r="T1" s="5" t="s">
        <v>117</v>
      </c>
      <c r="U1" s="5" t="s">
        <v>118</v>
      </c>
      <c r="V1" s="5" t="s">
        <v>119</v>
      </c>
      <c r="W1" s="5" t="s">
        <v>120</v>
      </c>
      <c r="X1" s="5" t="s">
        <v>31</v>
      </c>
      <c r="Y1" s="5" t="s">
        <v>32</v>
      </c>
      <c r="AH1" s="26"/>
      <c r="AI1" s="26"/>
      <c r="AM1" s="6"/>
      <c r="AN1" s="6"/>
      <c r="AR1" s="11"/>
      <c r="AS1" s="62" t="s">
        <v>12</v>
      </c>
      <c r="AT1" s="63" t="s">
        <v>26</v>
      </c>
      <c r="AU1" s="21" t="s">
        <v>82</v>
      </c>
      <c r="AV1" s="21" t="s">
        <v>83</v>
      </c>
      <c r="AW1" s="11" t="s">
        <v>85</v>
      </c>
      <c r="AY1" s="11" t="s">
        <v>17</v>
      </c>
      <c r="AZ1" s="35" t="s">
        <v>18</v>
      </c>
      <c r="BA1" s="11" t="s">
        <v>19</v>
      </c>
    </row>
    <row r="2" spans="1:53" ht="14.25" thickTop="1" thickBot="1" x14ac:dyDescent="0.25">
      <c r="A2" s="62" t="s">
        <v>12</v>
      </c>
      <c r="B2" s="63" t="s">
        <v>26</v>
      </c>
      <c r="D2" s="12" t="s">
        <v>15</v>
      </c>
      <c r="E2" s="12" t="s">
        <v>16</v>
      </c>
      <c r="F2" s="55">
        <v>1</v>
      </c>
      <c r="G2" s="54" t="s">
        <v>86</v>
      </c>
      <c r="H2" s="11" t="s">
        <v>17</v>
      </c>
      <c r="I2" s="9" t="s">
        <v>18</v>
      </c>
      <c r="J2" s="11" t="s">
        <v>40</v>
      </c>
      <c r="K2" s="11" t="s">
        <v>41</v>
      </c>
      <c r="L2" s="9" t="s">
        <v>42</v>
      </c>
      <c r="M2" s="44">
        <v>2</v>
      </c>
      <c r="N2" s="5" t="s">
        <v>94</v>
      </c>
      <c r="O2" s="5" t="s">
        <v>93</v>
      </c>
      <c r="P2" s="73"/>
      <c r="Q2" s="42" t="s">
        <v>130</v>
      </c>
      <c r="S2" s="5" t="s">
        <v>122</v>
      </c>
      <c r="T2" s="14" t="s">
        <v>99</v>
      </c>
      <c r="U2" s="1"/>
      <c r="AH2" s="27"/>
      <c r="AI2" s="27"/>
      <c r="AK2" s="4"/>
      <c r="AL2" s="6"/>
      <c r="AR2" s="11"/>
      <c r="AS2" s="64">
        <v>48</v>
      </c>
      <c r="AT2" s="65">
        <v>1</v>
      </c>
      <c r="AU2" s="27">
        <f>SUM(AT$2:AT2)/COUNTA(AS$2:AS2)</f>
        <v>1</v>
      </c>
      <c r="AV2" s="27">
        <f>AU2/AU$93</f>
        <v>1.6140350877192984</v>
      </c>
      <c r="AW2" s="27">
        <v>0</v>
      </c>
      <c r="AY2" s="13">
        <f t="shared" ref="AY2:AY33" si="0">D$3+E$3*AS2</f>
        <v>1.9200286089790399</v>
      </c>
      <c r="AZ2" s="36">
        <f t="shared" ref="AZ2:AZ65" si="1">EXP(AY2)</f>
        <v>6.8211536127400443</v>
      </c>
      <c r="BA2" s="23">
        <f t="shared" ref="BA2:BA65" si="2">AZ2/(1+AZ2)</f>
        <v>0.87214162391963779</v>
      </c>
    </row>
    <row r="3" spans="1:53" ht="14.25" thickTop="1" thickBot="1" x14ac:dyDescent="0.25">
      <c r="A3" s="64">
        <v>48</v>
      </c>
      <c r="B3" s="65">
        <v>1</v>
      </c>
      <c r="D3" s="16">
        <v>4.6132396106084297</v>
      </c>
      <c r="E3" s="30">
        <v>-5.6108562533945625E-2</v>
      </c>
      <c r="F3" s="17"/>
      <c r="G3" s="17"/>
      <c r="H3" s="8">
        <f t="shared" ref="H3:H34" si="3">D$3+E$3*A3</f>
        <v>1.9200286089790399</v>
      </c>
      <c r="I3" s="8">
        <f t="shared" ref="I3:I66" si="4">EXP(H3)</f>
        <v>6.8211536127400443</v>
      </c>
      <c r="J3" s="8">
        <f t="shared" ref="J3:J66" si="5">I3/(1+I3)</f>
        <v>0.87214162391963779</v>
      </c>
      <c r="K3" s="8">
        <f t="shared" ref="K3:K34" si="6">IF(B3=1,J3,1-J3)</f>
        <v>0.87214162391963779</v>
      </c>
      <c r="L3" s="10">
        <f>LN(K3)</f>
        <v>-0.13680345550880235</v>
      </c>
      <c r="M3" s="44">
        <f>M2+1</f>
        <v>3</v>
      </c>
      <c r="N3" s="1" t="str">
        <f t="shared" ref="N3:N34" si="7">IF($B3=1,"",$A3)</f>
        <v/>
      </c>
      <c r="O3" s="1">
        <f t="shared" ref="O3:O34" si="8">IF($B3=1,$A3,"")</f>
        <v>48</v>
      </c>
      <c r="P3" s="74"/>
      <c r="S3" s="5" t="s">
        <v>123</v>
      </c>
      <c r="T3" s="14" t="s">
        <v>103</v>
      </c>
      <c r="U3" s="1"/>
      <c r="AH3" s="27"/>
      <c r="AI3" s="27"/>
      <c r="AK3" s="4"/>
      <c r="AL3" s="6"/>
      <c r="AR3" s="11"/>
      <c r="AS3" s="64">
        <v>54</v>
      </c>
      <c r="AT3" s="65">
        <v>1</v>
      </c>
      <c r="AU3" s="27">
        <f>SUM(AT$2:AT3)/COUNTA(AS$2:AS3)</f>
        <v>1</v>
      </c>
      <c r="AV3" s="27">
        <f t="shared" ref="AV3:AV66" si="9">AU3/AU$93</f>
        <v>1.6140350877192984</v>
      </c>
      <c r="AW3" s="27">
        <v>0</v>
      </c>
      <c r="AY3" s="13">
        <f t="shared" si="0"/>
        <v>1.5833772337753658</v>
      </c>
      <c r="AZ3" s="36">
        <f t="shared" si="1"/>
        <v>4.871379850280098</v>
      </c>
      <c r="BA3" s="23">
        <f t="shared" si="2"/>
        <v>0.82968228499944618</v>
      </c>
    </row>
    <row r="4" spans="1:53" ht="13.5" thickTop="1" x14ac:dyDescent="0.2">
      <c r="A4" s="64">
        <v>54</v>
      </c>
      <c r="B4" s="65">
        <v>1</v>
      </c>
      <c r="H4" s="8">
        <f t="shared" si="3"/>
        <v>1.5833772337753658</v>
      </c>
      <c r="I4" s="8">
        <f t="shared" si="4"/>
        <v>4.871379850280098</v>
      </c>
      <c r="J4" s="8">
        <f t="shared" si="5"/>
        <v>0.82968228499944618</v>
      </c>
      <c r="K4" s="8">
        <f t="shared" si="6"/>
        <v>0.82968228499944618</v>
      </c>
      <c r="L4" s="10">
        <f t="shared" ref="L4:L67" si="10">LN(K4)</f>
        <v>-0.18671244063125841</v>
      </c>
      <c r="M4" s="44">
        <f t="shared" ref="M4:M67" si="11">M3+1</f>
        <v>4</v>
      </c>
      <c r="N4" s="1" t="str">
        <f t="shared" si="7"/>
        <v/>
      </c>
      <c r="O4" s="1">
        <f t="shared" si="8"/>
        <v>54</v>
      </c>
      <c r="P4" s="73"/>
      <c r="S4" s="5" t="s">
        <v>124</v>
      </c>
      <c r="T4" s="14" t="s">
        <v>104</v>
      </c>
      <c r="U4" s="1"/>
      <c r="AH4" s="27"/>
      <c r="AI4" s="27"/>
      <c r="AR4" s="11"/>
      <c r="AS4" s="64">
        <v>54</v>
      </c>
      <c r="AT4" s="65">
        <v>1</v>
      </c>
      <c r="AU4" s="27">
        <f>SUM(AT$2:AT4)/COUNTA(AS$2:AS4)</f>
        <v>1</v>
      </c>
      <c r="AV4" s="27">
        <f t="shared" si="9"/>
        <v>1.6140350877192984</v>
      </c>
      <c r="AW4" s="27">
        <v>0</v>
      </c>
      <c r="AY4" s="13">
        <f t="shared" si="0"/>
        <v>1.5833772337753658</v>
      </c>
      <c r="AZ4" s="36">
        <f t="shared" si="1"/>
        <v>4.871379850280098</v>
      </c>
      <c r="BA4" s="23">
        <f t="shared" si="2"/>
        <v>0.82968228499944618</v>
      </c>
    </row>
    <row r="5" spans="1:53" ht="13.5" thickBot="1" x14ac:dyDescent="0.25">
      <c r="A5" s="64">
        <v>54</v>
      </c>
      <c r="B5" s="65">
        <v>1</v>
      </c>
      <c r="D5" s="54" t="s">
        <v>22</v>
      </c>
      <c r="E5" s="17">
        <f>SUM(L3:L94)</f>
        <v>-57.301803162042127</v>
      </c>
      <c r="F5" s="20" t="str">
        <f ca="1">_xlfn.FORMULATEXT(E5)</f>
        <v>=SUM(L3:L94)</v>
      </c>
      <c r="G5" s="18"/>
      <c r="H5" s="8">
        <f t="shared" si="3"/>
        <v>1.5833772337753658</v>
      </c>
      <c r="I5" s="8">
        <f t="shared" si="4"/>
        <v>4.871379850280098</v>
      </c>
      <c r="J5" s="8">
        <f t="shared" si="5"/>
        <v>0.82968228499944618</v>
      </c>
      <c r="K5" s="8">
        <f t="shared" si="6"/>
        <v>0.82968228499944618</v>
      </c>
      <c r="L5" s="10">
        <f t="shared" si="10"/>
        <v>-0.18671244063125841</v>
      </c>
      <c r="M5" s="44">
        <f t="shared" si="11"/>
        <v>5</v>
      </c>
      <c r="N5" s="1" t="str">
        <f t="shared" si="7"/>
        <v/>
      </c>
      <c r="O5" s="1">
        <f t="shared" si="8"/>
        <v>54</v>
      </c>
      <c r="P5" s="73"/>
      <c r="S5" s="5" t="s">
        <v>125</v>
      </c>
      <c r="T5" s="14" t="s">
        <v>100</v>
      </c>
      <c r="U5" s="1"/>
      <c r="AH5" s="27"/>
      <c r="AI5" s="27"/>
      <c r="AR5" s="1"/>
      <c r="AS5" s="64">
        <v>58</v>
      </c>
      <c r="AT5" s="65">
        <v>1</v>
      </c>
      <c r="AU5" s="27">
        <f>SUM(AT$2:AT5)/COUNTA(AS$2:AS5)</f>
        <v>1</v>
      </c>
      <c r="AV5" s="27">
        <f t="shared" si="9"/>
        <v>1.6140350877192984</v>
      </c>
      <c r="AW5" s="27">
        <v>0</v>
      </c>
      <c r="AY5" s="13">
        <f t="shared" si="0"/>
        <v>1.3589429836395834</v>
      </c>
      <c r="AZ5" s="36">
        <f t="shared" si="1"/>
        <v>3.8920771375415941</v>
      </c>
      <c r="BA5" s="23">
        <f t="shared" si="2"/>
        <v>0.79558785115507635</v>
      </c>
    </row>
    <row r="6" spans="1:53" x14ac:dyDescent="0.2">
      <c r="A6" s="64">
        <v>58</v>
      </c>
      <c r="B6" s="65">
        <v>1</v>
      </c>
      <c r="D6" s="5" t="s">
        <v>21</v>
      </c>
      <c r="E6" s="58">
        <v>-63.820075251676471</v>
      </c>
      <c r="F6" s="13" t="s">
        <v>30</v>
      </c>
      <c r="H6" s="8">
        <f t="shared" si="3"/>
        <v>1.3589429836395834</v>
      </c>
      <c r="I6" s="8">
        <f t="shared" si="4"/>
        <v>3.8920771375415941</v>
      </c>
      <c r="J6" s="8">
        <f t="shared" si="5"/>
        <v>0.79558785115507635</v>
      </c>
      <c r="K6" s="8">
        <f t="shared" si="6"/>
        <v>0.79558785115507635</v>
      </c>
      <c r="L6" s="10">
        <f t="shared" si="10"/>
        <v>-0.22867400216029035</v>
      </c>
      <c r="M6" s="44">
        <f t="shared" si="11"/>
        <v>6</v>
      </c>
      <c r="N6" s="1" t="str">
        <f t="shared" si="7"/>
        <v/>
      </c>
      <c r="O6" s="1">
        <f t="shared" si="8"/>
        <v>58</v>
      </c>
      <c r="P6" s="73"/>
      <c r="S6" s="5" t="s">
        <v>126</v>
      </c>
      <c r="T6" s="14" t="s">
        <v>132</v>
      </c>
      <c r="U6" s="1"/>
      <c r="AH6" s="27"/>
      <c r="AI6" s="27"/>
      <c r="AR6" s="1"/>
      <c r="AS6" s="64">
        <v>58</v>
      </c>
      <c r="AT6" s="65">
        <v>1</v>
      </c>
      <c r="AU6" s="27">
        <f>SUM(AT$2:AT6)/COUNTA(AS$2:AS6)</f>
        <v>1</v>
      </c>
      <c r="AV6" s="27">
        <f t="shared" si="9"/>
        <v>1.6140350877192984</v>
      </c>
      <c r="AW6" s="27">
        <v>0</v>
      </c>
      <c r="AY6" s="13">
        <f t="shared" si="0"/>
        <v>1.3589429836395834</v>
      </c>
      <c r="AZ6" s="36">
        <f t="shared" si="1"/>
        <v>3.8920771375415941</v>
      </c>
      <c r="BA6" s="23">
        <f t="shared" si="2"/>
        <v>0.79558785115507635</v>
      </c>
    </row>
    <row r="7" spans="1:53" x14ac:dyDescent="0.2">
      <c r="A7" s="64">
        <v>58</v>
      </c>
      <c r="B7" s="65">
        <v>1</v>
      </c>
      <c r="D7" s="5" t="s">
        <v>15</v>
      </c>
      <c r="E7" s="59">
        <v>-61.11</v>
      </c>
      <c r="F7" s="8">
        <f>-2*E7</f>
        <v>122.22</v>
      </c>
      <c r="G7" s="8"/>
      <c r="H7" s="8">
        <f t="shared" si="3"/>
        <v>1.3589429836395834</v>
      </c>
      <c r="I7" s="8">
        <f t="shared" si="4"/>
        <v>3.8920771375415941</v>
      </c>
      <c r="J7" s="8">
        <f t="shared" si="5"/>
        <v>0.79558785115507635</v>
      </c>
      <c r="K7" s="8">
        <f t="shared" si="6"/>
        <v>0.79558785115507635</v>
      </c>
      <c r="L7" s="10">
        <f t="shared" si="10"/>
        <v>-0.22867400216029035</v>
      </c>
      <c r="M7" s="44">
        <f t="shared" si="11"/>
        <v>7</v>
      </c>
      <c r="N7" s="1" t="str">
        <f t="shared" si="7"/>
        <v/>
      </c>
      <c r="O7" s="1">
        <f t="shared" si="8"/>
        <v>58</v>
      </c>
      <c r="P7" s="73"/>
      <c r="S7" s="5" t="s">
        <v>127</v>
      </c>
      <c r="T7" s="14" t="s">
        <v>102</v>
      </c>
      <c r="U7" s="1"/>
      <c r="Z7" s="8"/>
      <c r="AA7" s="8"/>
      <c r="AH7" s="27"/>
      <c r="AI7" s="27"/>
      <c r="AR7" s="1"/>
      <c r="AS7" s="64">
        <v>58</v>
      </c>
      <c r="AT7" s="66">
        <v>0</v>
      </c>
      <c r="AU7" s="27">
        <f>SUM(AT$2:AT7)/COUNTA(AS$2:AS7)</f>
        <v>0.83333333333333337</v>
      </c>
      <c r="AV7" s="27">
        <f t="shared" si="9"/>
        <v>1.3450292397660819</v>
      </c>
      <c r="AW7" s="27"/>
      <c r="AY7" s="13">
        <f t="shared" si="0"/>
        <v>1.3589429836395834</v>
      </c>
      <c r="AZ7" s="36">
        <f t="shared" si="1"/>
        <v>3.8920771375415941</v>
      </c>
      <c r="BA7" s="23">
        <f t="shared" si="2"/>
        <v>0.79558785115507635</v>
      </c>
    </row>
    <row r="8" spans="1:53" ht="13.5" thickBot="1" x14ac:dyDescent="0.25">
      <c r="A8" s="64">
        <v>58</v>
      </c>
      <c r="B8" s="76">
        <v>0</v>
      </c>
      <c r="D8" s="5" t="s">
        <v>20</v>
      </c>
      <c r="E8" s="60">
        <v>-57.3</v>
      </c>
      <c r="F8" s="8">
        <f>-2*E8</f>
        <v>114.6</v>
      </c>
      <c r="H8" s="8">
        <f t="shared" si="3"/>
        <v>1.3589429836395834</v>
      </c>
      <c r="I8" s="8">
        <f t="shared" si="4"/>
        <v>3.8920771375415941</v>
      </c>
      <c r="J8" s="8">
        <f t="shared" si="5"/>
        <v>0.79558785115507635</v>
      </c>
      <c r="K8" s="8">
        <f t="shared" si="6"/>
        <v>0.20441214884492365</v>
      </c>
      <c r="L8" s="10">
        <f t="shared" si="10"/>
        <v>-1.5876169857998732</v>
      </c>
      <c r="M8" s="44">
        <f t="shared" si="11"/>
        <v>8</v>
      </c>
      <c r="N8" s="1">
        <f t="shared" si="7"/>
        <v>58</v>
      </c>
      <c r="O8" s="1" t="str">
        <f t="shared" si="8"/>
        <v/>
      </c>
      <c r="P8" s="73"/>
      <c r="S8" s="5" t="s">
        <v>128</v>
      </c>
      <c r="T8" s="14" t="s">
        <v>101</v>
      </c>
      <c r="U8" s="1"/>
      <c r="Z8" s="8"/>
      <c r="AA8" s="9"/>
      <c r="AF8" s="25"/>
      <c r="AG8" s="6"/>
      <c r="AH8" s="27"/>
      <c r="AI8" s="27"/>
      <c r="AK8" s="6"/>
      <c r="AR8" s="1"/>
      <c r="AS8" s="64">
        <v>60</v>
      </c>
      <c r="AT8" s="65">
        <v>1</v>
      </c>
      <c r="AU8" s="27">
        <f>SUM(AT$2:AT8)/COUNTA(AS$2:AS8)</f>
        <v>0.8571428571428571</v>
      </c>
      <c r="AV8" s="27">
        <f t="shared" si="9"/>
        <v>1.3834586466165413</v>
      </c>
      <c r="AW8" s="27"/>
      <c r="AY8" s="13">
        <f t="shared" si="0"/>
        <v>1.246725858571692</v>
      </c>
      <c r="AZ8" s="36">
        <f t="shared" si="1"/>
        <v>3.4789337688266082</v>
      </c>
      <c r="BA8" s="23">
        <f t="shared" si="2"/>
        <v>0.77673257707894616</v>
      </c>
    </row>
    <row r="9" spans="1:53" x14ac:dyDescent="0.2">
      <c r="A9" s="64">
        <v>60</v>
      </c>
      <c r="B9" s="65">
        <v>1</v>
      </c>
      <c r="D9" s="5" t="s">
        <v>29</v>
      </c>
      <c r="E9" s="24" t="str">
        <f t="shared" ref="E9" ca="1" si="12">_xlfn.FORMULATEXT(F9)</f>
        <v>=F7-F8</v>
      </c>
      <c r="F9" s="8">
        <f>F7-F8</f>
        <v>7.6200000000000045</v>
      </c>
      <c r="H9" s="8">
        <f t="shared" si="3"/>
        <v>1.246725858571692</v>
      </c>
      <c r="I9" s="8">
        <f t="shared" si="4"/>
        <v>3.4789337688266082</v>
      </c>
      <c r="J9" s="8">
        <f t="shared" si="5"/>
        <v>0.77673257707894616</v>
      </c>
      <c r="K9" s="8">
        <f t="shared" si="6"/>
        <v>0.77673257707894616</v>
      </c>
      <c r="L9" s="10">
        <f t="shared" si="10"/>
        <v>-0.25265916149940126</v>
      </c>
      <c r="M9" s="44">
        <f t="shared" si="11"/>
        <v>9</v>
      </c>
      <c r="N9" s="1" t="str">
        <f t="shared" si="7"/>
        <v/>
      </c>
      <c r="O9" s="1">
        <f t="shared" si="8"/>
        <v>60</v>
      </c>
      <c r="P9" s="74"/>
      <c r="T9" s="77" t="s">
        <v>134</v>
      </c>
      <c r="U9" s="78"/>
      <c r="V9" s="78"/>
      <c r="W9" s="77" t="s">
        <v>133</v>
      </c>
      <c r="X9" s="78"/>
      <c r="Z9" s="8"/>
      <c r="AG9" s="7"/>
      <c r="AH9" s="27"/>
      <c r="AI9" s="27"/>
      <c r="AK9" s="6"/>
      <c r="AR9" s="1"/>
      <c r="AS9" s="64">
        <v>60</v>
      </c>
      <c r="AT9" s="65">
        <v>1</v>
      </c>
      <c r="AU9" s="27">
        <f>SUM(AT$2:AT9)/COUNTA(AS$2:AS9)</f>
        <v>0.875</v>
      </c>
      <c r="AV9" s="27">
        <f t="shared" si="9"/>
        <v>1.4122807017543859</v>
      </c>
      <c r="AW9" s="27"/>
      <c r="AY9" s="13">
        <f t="shared" si="0"/>
        <v>1.246725858571692</v>
      </c>
      <c r="AZ9" s="36">
        <f t="shared" si="1"/>
        <v>3.4789337688266082</v>
      </c>
      <c r="BA9" s="23">
        <f t="shared" si="2"/>
        <v>0.77673257707894616</v>
      </c>
    </row>
    <row r="10" spans="1:53" ht="13.5" thickBot="1" x14ac:dyDescent="0.25">
      <c r="A10" s="64">
        <v>60</v>
      </c>
      <c r="B10" s="65">
        <v>1</v>
      </c>
      <c r="E10" s="24" t="str">
        <f ca="1">_xlfn.FORMULATEXT(F10)</f>
        <v>=CHISQ.DIST.RT(F9,F2)</v>
      </c>
      <c r="F10" s="5">
        <f>_xlfn.CHISQ.DIST.RT(F9,F2)</f>
        <v>5.7724488024311774E-3</v>
      </c>
      <c r="H10" s="8">
        <f t="shared" si="3"/>
        <v>1.246725858571692</v>
      </c>
      <c r="I10" s="8">
        <f t="shared" si="4"/>
        <v>3.4789337688266082</v>
      </c>
      <c r="J10" s="8">
        <f t="shared" si="5"/>
        <v>0.77673257707894616</v>
      </c>
      <c r="K10" s="8">
        <f t="shared" si="6"/>
        <v>0.77673257707894616</v>
      </c>
      <c r="L10" s="10">
        <f t="shared" si="10"/>
        <v>-0.25265916149940126</v>
      </c>
      <c r="M10" s="44">
        <f t="shared" si="11"/>
        <v>10</v>
      </c>
      <c r="N10" s="1" t="str">
        <f t="shared" si="7"/>
        <v/>
      </c>
      <c r="O10" s="1">
        <f t="shared" si="8"/>
        <v>60</v>
      </c>
      <c r="P10" s="73"/>
      <c r="Q10" s="11" t="s">
        <v>53</v>
      </c>
      <c r="R10" s="11" t="s">
        <v>17</v>
      </c>
      <c r="S10" s="11" t="s">
        <v>18</v>
      </c>
      <c r="T10" s="11" t="s">
        <v>19</v>
      </c>
      <c r="U10" s="14" t="s">
        <v>60</v>
      </c>
      <c r="V10" s="14" t="s">
        <v>63</v>
      </c>
      <c r="W10" s="6" t="s">
        <v>39</v>
      </c>
      <c r="X10" s="6" t="s">
        <v>84</v>
      </c>
      <c r="Z10" s="8"/>
      <c r="AH10" s="27"/>
      <c r="AI10" s="27"/>
      <c r="AR10" s="1"/>
      <c r="AS10" s="64">
        <v>60</v>
      </c>
      <c r="AT10" s="65">
        <v>1</v>
      </c>
      <c r="AU10" s="27">
        <f>SUM(AT$2:AT10)/COUNTA(AS$2:AS10)</f>
        <v>0.88888888888888884</v>
      </c>
      <c r="AV10" s="27">
        <f t="shared" si="9"/>
        <v>1.4346978557504872</v>
      </c>
      <c r="AW10" s="27"/>
      <c r="AY10" s="13">
        <f t="shared" si="0"/>
        <v>1.246725858571692</v>
      </c>
      <c r="AZ10" s="36">
        <f t="shared" si="1"/>
        <v>3.4789337688266082</v>
      </c>
      <c r="BA10" s="23">
        <f t="shared" si="2"/>
        <v>0.77673257707894616</v>
      </c>
    </row>
    <row r="11" spans="1:53" ht="13.5" thickBot="1" x14ac:dyDescent="0.25">
      <c r="A11" s="64">
        <v>60</v>
      </c>
      <c r="B11" s="65">
        <v>1</v>
      </c>
      <c r="H11" s="8">
        <f t="shared" si="3"/>
        <v>1.246725858571692</v>
      </c>
      <c r="I11" s="8">
        <f t="shared" si="4"/>
        <v>3.4789337688266082</v>
      </c>
      <c r="J11" s="8">
        <f t="shared" si="5"/>
        <v>0.77673257707894616</v>
      </c>
      <c r="K11" s="8">
        <f t="shared" si="6"/>
        <v>0.77673257707894616</v>
      </c>
      <c r="L11" s="10">
        <f t="shared" si="10"/>
        <v>-0.25265916149940126</v>
      </c>
      <c r="M11" s="44">
        <f t="shared" si="11"/>
        <v>11</v>
      </c>
      <c r="N11" s="1" t="str">
        <f t="shared" si="7"/>
        <v/>
      </c>
      <c r="O11" s="1">
        <f t="shared" si="8"/>
        <v>60</v>
      </c>
      <c r="P11" s="73"/>
      <c r="Q11" s="45">
        <v>40</v>
      </c>
      <c r="R11" s="13">
        <f t="shared" ref="R11:R51" si="13">D$3+E$3*Q11</f>
        <v>2.3688971092506046</v>
      </c>
      <c r="S11" s="8">
        <f t="shared" ref="S11:S20" si="14">EXP(R11)</f>
        <v>10.685600732709972</v>
      </c>
      <c r="T11" s="23">
        <f t="shared" ref="T11:T20" si="15">S11/(1+S11)</f>
        <v>0.91442459631528994</v>
      </c>
      <c r="U11" s="8">
        <f t="shared" ref="U11:U51" si="16">E$50+D$30*(Q11-E$61)</f>
        <v>1.0355306835295324</v>
      </c>
      <c r="V11" s="8">
        <f t="shared" ref="V11:V51" si="17">E$50+D$42*(Q11-E$61)</f>
        <v>5.7266355140186853</v>
      </c>
      <c r="W11" s="8">
        <f t="shared" ref="W11:W51" si="18">1/(1+EXP((4*D$42)*(D$32-Q11)))</f>
        <v>0.99999999999621592</v>
      </c>
      <c r="X11" s="8" t="e">
        <f t="shared" ref="X11:X51" si="19">VLOOKUP(Q11,AS$2:AV$93,4)</f>
        <v>#N/A</v>
      </c>
      <c r="Z11" s="8"/>
      <c r="AH11" s="27"/>
      <c r="AI11" s="27"/>
      <c r="AR11" s="1"/>
      <c r="AS11" s="64">
        <v>60</v>
      </c>
      <c r="AT11" s="66">
        <v>0</v>
      </c>
      <c r="AU11" s="27">
        <f>SUM(AT$2:AT11)/COUNTA(AS$2:AS11)</f>
        <v>0.8</v>
      </c>
      <c r="AV11" s="27">
        <f t="shared" si="9"/>
        <v>1.2912280701754386</v>
      </c>
      <c r="AW11" s="27"/>
      <c r="AY11" s="13">
        <f t="shared" si="0"/>
        <v>1.246725858571692</v>
      </c>
      <c r="AZ11" s="36">
        <f t="shared" si="1"/>
        <v>3.4789337688266082</v>
      </c>
      <c r="BA11" s="23">
        <f t="shared" si="2"/>
        <v>0.77673257707894616</v>
      </c>
    </row>
    <row r="12" spans="1:53" x14ac:dyDescent="0.2">
      <c r="A12" s="64">
        <v>60</v>
      </c>
      <c r="B12" s="76">
        <v>0</v>
      </c>
      <c r="E12" s="21" t="s">
        <v>23</v>
      </c>
      <c r="H12" s="8">
        <f t="shared" si="3"/>
        <v>1.246725858571692</v>
      </c>
      <c r="I12" s="8">
        <f t="shared" si="4"/>
        <v>3.4789337688266082</v>
      </c>
      <c r="J12" s="8">
        <f t="shared" si="5"/>
        <v>0.77673257707894616</v>
      </c>
      <c r="K12" s="8">
        <f t="shared" si="6"/>
        <v>0.22326742292105384</v>
      </c>
      <c r="L12" s="10">
        <f t="shared" si="10"/>
        <v>-1.4993850200710934</v>
      </c>
      <c r="M12" s="44">
        <f t="shared" si="11"/>
        <v>12</v>
      </c>
      <c r="N12" s="1">
        <f t="shared" si="7"/>
        <v>60</v>
      </c>
      <c r="O12" s="1" t="str">
        <f t="shared" si="8"/>
        <v/>
      </c>
      <c r="P12" s="73"/>
      <c r="Q12" s="39">
        <f t="shared" ref="Q12:Q51" si="20">Q11+D$70</f>
        <v>42</v>
      </c>
      <c r="R12" s="13">
        <f t="shared" si="13"/>
        <v>2.2566799841827136</v>
      </c>
      <c r="S12" s="8">
        <f t="shared" si="14"/>
        <v>9.5513259155763084</v>
      </c>
      <c r="T12" s="23">
        <f t="shared" si="15"/>
        <v>0.90522518136571273</v>
      </c>
      <c r="U12" s="8">
        <f t="shared" si="16"/>
        <v>1.0102206154840847</v>
      </c>
      <c r="V12" s="8">
        <f t="shared" si="17"/>
        <v>5.4158878504672838</v>
      </c>
      <c r="W12" s="8">
        <f t="shared" si="18"/>
        <v>0.99999999998688427</v>
      </c>
      <c r="X12" s="8" t="e">
        <f t="shared" si="19"/>
        <v>#N/A</v>
      </c>
      <c r="Z12" s="8"/>
      <c r="AH12" s="27"/>
      <c r="AI12" s="27"/>
      <c r="AR12" s="1"/>
      <c r="AS12" s="64">
        <v>61</v>
      </c>
      <c r="AT12" s="66">
        <v>0</v>
      </c>
      <c r="AU12" s="27">
        <f>SUM(AT$2:AT12)/COUNTA(AS$2:AS12)</f>
        <v>0.72727272727272729</v>
      </c>
      <c r="AV12" s="27">
        <f t="shared" si="9"/>
        <v>1.1738437001594897</v>
      </c>
      <c r="AW12" s="27"/>
      <c r="AY12" s="13">
        <f t="shared" si="0"/>
        <v>1.1906172960377468</v>
      </c>
      <c r="AZ12" s="36">
        <f t="shared" si="1"/>
        <v>3.28911093599545</v>
      </c>
      <c r="BA12" s="23">
        <f t="shared" si="2"/>
        <v>0.76685144895467428</v>
      </c>
    </row>
    <row r="13" spans="1:53" x14ac:dyDescent="0.2">
      <c r="A13" s="64">
        <v>61</v>
      </c>
      <c r="B13" s="76">
        <v>0</v>
      </c>
      <c r="D13" s="8" t="str">
        <f>+H2</f>
        <v>Logit</v>
      </c>
      <c r="E13" s="10" t="str">
        <f>CHAR(COLUMN(H3)+64)&amp;ROW(H3)</f>
        <v>H3</v>
      </c>
      <c r="F13" t="str">
        <f ca="1">_xlfn.FORMULATEXT(H3)</f>
        <v>=D$3+E$3*A3</v>
      </c>
      <c r="H13" s="8">
        <f t="shared" si="3"/>
        <v>1.1906172960377468</v>
      </c>
      <c r="I13" s="8">
        <f t="shared" si="4"/>
        <v>3.28911093599545</v>
      </c>
      <c r="J13" s="8">
        <f t="shared" si="5"/>
        <v>0.76685144895467428</v>
      </c>
      <c r="K13" s="8">
        <f t="shared" si="6"/>
        <v>0.23314855104532572</v>
      </c>
      <c r="L13" s="10">
        <f t="shared" si="10"/>
        <v>-1.4560794704358351</v>
      </c>
      <c r="M13" s="44">
        <f t="shared" si="11"/>
        <v>13</v>
      </c>
      <c r="N13" s="1">
        <f t="shared" si="7"/>
        <v>61</v>
      </c>
      <c r="O13" s="1" t="str">
        <f t="shared" si="8"/>
        <v/>
      </c>
      <c r="P13" s="74"/>
      <c r="Q13" s="39">
        <f t="shared" si="20"/>
        <v>44</v>
      </c>
      <c r="R13" s="13">
        <f t="shared" si="13"/>
        <v>2.1444628591148223</v>
      </c>
      <c r="S13" s="8">
        <f t="shared" si="14"/>
        <v>8.5374541897583427</v>
      </c>
      <c r="T13" s="23">
        <f t="shared" si="15"/>
        <v>0.89515021722737753</v>
      </c>
      <c r="U13" s="8">
        <f t="shared" si="16"/>
        <v>0.98491054743863693</v>
      </c>
      <c r="V13" s="8">
        <f t="shared" si="17"/>
        <v>5.1051401869158823</v>
      </c>
      <c r="W13" s="8">
        <f t="shared" si="18"/>
        <v>0.99999999995454103</v>
      </c>
      <c r="X13" s="8" t="e">
        <f t="shared" si="19"/>
        <v>#N/A</v>
      </c>
      <c r="Z13" s="8"/>
      <c r="AH13" s="27"/>
      <c r="AI13" s="27"/>
      <c r="AJ13" s="4"/>
      <c r="AK13" s="6"/>
      <c r="AR13" s="1"/>
      <c r="AS13" s="64">
        <v>62</v>
      </c>
      <c r="AT13" s="65">
        <v>1</v>
      </c>
      <c r="AU13" s="27">
        <f>SUM(AT$2:AT13)/COUNTA(AS$2:AS13)</f>
        <v>0.75</v>
      </c>
      <c r="AV13" s="27">
        <f t="shared" si="9"/>
        <v>1.2105263157894737</v>
      </c>
      <c r="AW13" s="27"/>
      <c r="AY13" s="13">
        <f t="shared" si="0"/>
        <v>1.1345087335038011</v>
      </c>
      <c r="AZ13" s="36">
        <f t="shared" si="1"/>
        <v>3.109645502947787</v>
      </c>
      <c r="BA13" s="23">
        <f t="shared" si="2"/>
        <v>0.75667000978972154</v>
      </c>
    </row>
    <row r="14" spans="1:53" x14ac:dyDescent="0.2">
      <c r="A14" s="64">
        <v>62</v>
      </c>
      <c r="B14" s="65">
        <v>1</v>
      </c>
      <c r="D14" s="8" t="str">
        <f>+I2</f>
        <v>Odds</v>
      </c>
      <c r="E14" s="37" t="str">
        <f>CHAR(COLUMN(I3)+64)&amp;ROW(I3)</f>
        <v>I3</v>
      </c>
      <c r="F14" t="str">
        <f ca="1">_xlfn.FORMULATEXT(I3)</f>
        <v>=EXP(H3)</v>
      </c>
      <c r="H14" s="8">
        <f t="shared" si="3"/>
        <v>1.1345087335038011</v>
      </c>
      <c r="I14" s="8">
        <f t="shared" si="4"/>
        <v>3.109645502947787</v>
      </c>
      <c r="J14" s="8">
        <f t="shared" si="5"/>
        <v>0.75667000978972154</v>
      </c>
      <c r="K14" s="8">
        <f t="shared" si="6"/>
        <v>0.75667000978972154</v>
      </c>
      <c r="L14" s="10">
        <f t="shared" si="10"/>
        <v>-0.2788280389602571</v>
      </c>
      <c r="M14" s="44">
        <f t="shared" si="11"/>
        <v>14</v>
      </c>
      <c r="N14" s="1" t="str">
        <f t="shared" si="7"/>
        <v/>
      </c>
      <c r="O14" s="1">
        <f t="shared" si="8"/>
        <v>62</v>
      </c>
      <c r="P14" s="74"/>
      <c r="Q14" s="39">
        <f t="shared" si="20"/>
        <v>46</v>
      </c>
      <c r="R14" s="13">
        <f t="shared" si="13"/>
        <v>2.0322457340469309</v>
      </c>
      <c r="S14" s="8">
        <f t="shared" si="14"/>
        <v>7.6312047862754095</v>
      </c>
      <c r="T14" s="23">
        <f t="shared" si="15"/>
        <v>0.8841413192292561</v>
      </c>
      <c r="U14" s="8">
        <f t="shared" si="16"/>
        <v>0.95960047939318915</v>
      </c>
      <c r="V14" s="8">
        <f t="shared" si="17"/>
        <v>4.7943925233644809</v>
      </c>
      <c r="W14" s="8">
        <f t="shared" si="18"/>
        <v>0.9999999998424407</v>
      </c>
      <c r="X14" s="8" t="e">
        <f t="shared" si="19"/>
        <v>#N/A</v>
      </c>
      <c r="Z14" s="8"/>
      <c r="AH14" s="27"/>
      <c r="AI14" s="27"/>
      <c r="AK14" s="6"/>
      <c r="AR14" s="1"/>
      <c r="AS14" s="64">
        <v>62</v>
      </c>
      <c r="AT14" s="65">
        <v>1</v>
      </c>
      <c r="AU14" s="27">
        <f>SUM(AT$2:AT14)/COUNTA(AS$2:AS14)</f>
        <v>0.76923076923076927</v>
      </c>
      <c r="AV14" s="27">
        <f t="shared" si="9"/>
        <v>1.2415654520917681</v>
      </c>
      <c r="AW14" s="27"/>
      <c r="AY14" s="13">
        <f t="shared" si="0"/>
        <v>1.1345087335038011</v>
      </c>
      <c r="AZ14" s="36">
        <f t="shared" si="1"/>
        <v>3.109645502947787</v>
      </c>
      <c r="BA14" s="23">
        <f t="shared" si="2"/>
        <v>0.75667000978972154</v>
      </c>
    </row>
    <row r="15" spans="1:53" x14ac:dyDescent="0.2">
      <c r="A15" s="64">
        <v>62</v>
      </c>
      <c r="B15" s="65">
        <v>1</v>
      </c>
      <c r="D15" s="8" t="str">
        <f>+J2</f>
        <v>p(Y=1)</v>
      </c>
      <c r="E15" s="10" t="str">
        <f>CHAR(COLUMN(J3)+64)&amp;ROW(J3)</f>
        <v>J3</v>
      </c>
      <c r="F15" t="str">
        <f ca="1">_xlfn.FORMULATEXT(J3)</f>
        <v>=I3/(1+I3)</v>
      </c>
      <c r="H15" s="8">
        <f t="shared" si="3"/>
        <v>1.1345087335038011</v>
      </c>
      <c r="I15" s="8">
        <f t="shared" si="4"/>
        <v>3.109645502947787</v>
      </c>
      <c r="J15" s="8">
        <f t="shared" si="5"/>
        <v>0.75667000978972154</v>
      </c>
      <c r="K15" s="8">
        <f t="shared" si="6"/>
        <v>0.75667000978972154</v>
      </c>
      <c r="L15" s="10">
        <f t="shared" si="10"/>
        <v>-0.2788280389602571</v>
      </c>
      <c r="M15" s="44">
        <f t="shared" si="11"/>
        <v>15</v>
      </c>
      <c r="N15" s="1" t="str">
        <f t="shared" si="7"/>
        <v/>
      </c>
      <c r="O15" s="1">
        <f t="shared" si="8"/>
        <v>62</v>
      </c>
      <c r="P15" s="73"/>
      <c r="Q15" s="39">
        <f t="shared" si="20"/>
        <v>48</v>
      </c>
      <c r="R15" s="13">
        <f t="shared" si="13"/>
        <v>1.9200286089790399</v>
      </c>
      <c r="S15" s="8">
        <f t="shared" si="14"/>
        <v>6.8211536127400443</v>
      </c>
      <c r="T15" s="23">
        <f t="shared" si="15"/>
        <v>0.87214162391963779</v>
      </c>
      <c r="U15" s="8">
        <f t="shared" si="16"/>
        <v>0.93429041134774149</v>
      </c>
      <c r="V15" s="8">
        <f t="shared" si="17"/>
        <v>4.4836448598130794</v>
      </c>
      <c r="W15" s="8">
        <f t="shared" si="18"/>
        <v>0.99999999945390528</v>
      </c>
      <c r="X15" s="8">
        <f t="shared" si="19"/>
        <v>1.6140350877192984</v>
      </c>
      <c r="Z15" s="8"/>
      <c r="AH15" s="27"/>
      <c r="AI15" s="27"/>
      <c r="AR15" s="1"/>
      <c r="AS15" s="64">
        <v>62</v>
      </c>
      <c r="AT15" s="65">
        <v>1</v>
      </c>
      <c r="AU15" s="27">
        <f>SUM(AT$2:AT15)/COUNTA(AS$2:AS15)</f>
        <v>0.7857142857142857</v>
      </c>
      <c r="AV15" s="27">
        <f t="shared" si="9"/>
        <v>1.2681704260651629</v>
      </c>
      <c r="AW15" s="27"/>
      <c r="AY15" s="13">
        <f t="shared" si="0"/>
        <v>1.1345087335038011</v>
      </c>
      <c r="AZ15" s="36">
        <f t="shared" si="1"/>
        <v>3.109645502947787</v>
      </c>
      <c r="BA15" s="23">
        <f t="shared" si="2"/>
        <v>0.75667000978972154</v>
      </c>
    </row>
    <row r="16" spans="1:53" x14ac:dyDescent="0.2">
      <c r="A16" s="64">
        <v>62</v>
      </c>
      <c r="B16" s="65">
        <v>1</v>
      </c>
      <c r="D16" s="8" t="str">
        <f>+K2</f>
        <v>p(OK)</v>
      </c>
      <c r="E16" s="10" t="str">
        <f>CHAR(COLUMN(K3)+64)&amp;ROW(K3)</f>
        <v>K3</v>
      </c>
      <c r="F16" t="str">
        <f ca="1">_xlfn.FORMULATEXT(K3)</f>
        <v>=IF(B3=1,J3,1-J3)</v>
      </c>
      <c r="H16" s="8">
        <f t="shared" si="3"/>
        <v>1.1345087335038011</v>
      </c>
      <c r="I16" s="8">
        <f t="shared" si="4"/>
        <v>3.109645502947787</v>
      </c>
      <c r="J16" s="8">
        <f t="shared" si="5"/>
        <v>0.75667000978972154</v>
      </c>
      <c r="K16" s="8">
        <f t="shared" si="6"/>
        <v>0.75667000978972154</v>
      </c>
      <c r="L16" s="10">
        <f t="shared" si="10"/>
        <v>-0.2788280389602571</v>
      </c>
      <c r="M16" s="44">
        <f t="shared" si="11"/>
        <v>16</v>
      </c>
      <c r="N16" s="1" t="str">
        <f t="shared" si="7"/>
        <v/>
      </c>
      <c r="O16" s="1">
        <f t="shared" si="8"/>
        <v>62</v>
      </c>
      <c r="P16" s="73"/>
      <c r="Q16" s="39">
        <f t="shared" si="20"/>
        <v>50</v>
      </c>
      <c r="R16" s="13">
        <f t="shared" si="13"/>
        <v>1.8078114839111485</v>
      </c>
      <c r="S16" s="8">
        <f t="shared" si="14"/>
        <v>6.0970892423535252</v>
      </c>
      <c r="T16" s="23">
        <f t="shared" si="15"/>
        <v>0.8590971642244164</v>
      </c>
      <c r="U16" s="8">
        <f t="shared" si="16"/>
        <v>0.90898034330229371</v>
      </c>
      <c r="V16" s="8">
        <f t="shared" si="17"/>
        <v>4.1728971962616779</v>
      </c>
      <c r="W16" s="8">
        <f t="shared" si="18"/>
        <v>0.99999999810725582</v>
      </c>
      <c r="X16" s="8">
        <f t="shared" si="19"/>
        <v>1.6140350877192984</v>
      </c>
      <c r="Z16" s="8"/>
      <c r="AA16" s="8"/>
      <c r="AH16" s="27"/>
      <c r="AI16" s="27"/>
      <c r="AR16" s="1"/>
      <c r="AS16" s="64">
        <v>62</v>
      </c>
      <c r="AT16" s="65">
        <v>0</v>
      </c>
      <c r="AU16" s="27">
        <f>SUM(AT$2:AT16)/COUNTA(AS$2:AS16)</f>
        <v>0.73333333333333328</v>
      </c>
      <c r="AV16" s="27">
        <f t="shared" si="9"/>
        <v>1.183625730994152</v>
      </c>
      <c r="AW16" s="27"/>
      <c r="AY16" s="13">
        <f t="shared" si="0"/>
        <v>1.1345087335038011</v>
      </c>
      <c r="AZ16" s="36">
        <f t="shared" si="1"/>
        <v>3.109645502947787</v>
      </c>
      <c r="BA16" s="23">
        <f t="shared" si="2"/>
        <v>0.75667000978972154</v>
      </c>
    </row>
    <row r="17" spans="1:53" x14ac:dyDescent="0.2">
      <c r="A17" s="64">
        <v>62</v>
      </c>
      <c r="B17" s="65">
        <v>0</v>
      </c>
      <c r="D17" s="8" t="str">
        <f>+L2</f>
        <v>Ln(pOK)</v>
      </c>
      <c r="E17" s="10" t="str">
        <f>CHAR(COLUMN(L3)+64)&amp;ROW(L3)</f>
        <v>L3</v>
      </c>
      <c r="F17" t="str">
        <f ca="1">_xlfn.FORMULATEXT(L3)</f>
        <v>=LN(K3)</v>
      </c>
      <c r="H17" s="8">
        <f t="shared" si="3"/>
        <v>1.1345087335038011</v>
      </c>
      <c r="I17" s="8">
        <f t="shared" si="4"/>
        <v>3.109645502947787</v>
      </c>
      <c r="J17" s="8">
        <f t="shared" si="5"/>
        <v>0.75667000978972154</v>
      </c>
      <c r="K17" s="8">
        <f t="shared" si="6"/>
        <v>0.24332999021027846</v>
      </c>
      <c r="L17" s="10">
        <f t="shared" si="10"/>
        <v>-1.4133367724640584</v>
      </c>
      <c r="M17" s="44">
        <f t="shared" si="11"/>
        <v>17</v>
      </c>
      <c r="N17" s="1">
        <f t="shared" si="7"/>
        <v>62</v>
      </c>
      <c r="O17" s="1" t="str">
        <f t="shared" si="8"/>
        <v/>
      </c>
      <c r="P17" s="73"/>
      <c r="Q17" s="39">
        <f t="shared" si="20"/>
        <v>52</v>
      </c>
      <c r="R17" s="13">
        <f t="shared" si="13"/>
        <v>1.6955943588432572</v>
      </c>
      <c r="S17" s="8">
        <f t="shared" si="14"/>
        <v>5.4498841896466486</v>
      </c>
      <c r="T17" s="23">
        <f t="shared" si="15"/>
        <v>0.84495845652466139</v>
      </c>
      <c r="U17" s="8">
        <f t="shared" si="16"/>
        <v>0.88367027525684594</v>
      </c>
      <c r="V17" s="8">
        <f t="shared" si="17"/>
        <v>3.8621495327102759</v>
      </c>
      <c r="W17" s="8">
        <f t="shared" si="18"/>
        <v>0.99999999343981805</v>
      </c>
      <c r="X17" s="8">
        <f t="shared" si="19"/>
        <v>1.6140350877192984</v>
      </c>
      <c r="Z17" s="8"/>
      <c r="AA17" s="8"/>
      <c r="AH17" s="27"/>
      <c r="AI17" s="27"/>
      <c r="AR17" s="1"/>
      <c r="AS17" s="64">
        <v>62</v>
      </c>
      <c r="AT17" s="65">
        <v>0</v>
      </c>
      <c r="AU17" s="27">
        <f>SUM(AT$2:AT17)/COUNTA(AS$2:AS17)</f>
        <v>0.6875</v>
      </c>
      <c r="AV17" s="27">
        <f t="shared" si="9"/>
        <v>1.1096491228070176</v>
      </c>
      <c r="AW17" s="27"/>
      <c r="AY17" s="13">
        <f t="shared" si="0"/>
        <v>1.1345087335038011</v>
      </c>
      <c r="AZ17" s="36">
        <f t="shared" si="1"/>
        <v>3.109645502947787</v>
      </c>
      <c r="BA17" s="23">
        <f t="shared" si="2"/>
        <v>0.75667000978972154</v>
      </c>
    </row>
    <row r="18" spans="1:53" x14ac:dyDescent="0.2">
      <c r="A18" s="64">
        <v>62</v>
      </c>
      <c r="B18" s="65">
        <v>0</v>
      </c>
      <c r="D18" s="5" t="s">
        <v>17</v>
      </c>
      <c r="E18" s="10" t="str">
        <f>CHAR(COLUMN(R11)+64)&amp;ROW(R11)</f>
        <v>R11</v>
      </c>
      <c r="F18" s="15" t="str">
        <f ca="1">_xlfn.FORMULATEXT(R11)</f>
        <v>=D$3+E$3*Q11</v>
      </c>
      <c r="H18" s="8">
        <f t="shared" si="3"/>
        <v>1.1345087335038011</v>
      </c>
      <c r="I18" s="8">
        <f t="shared" si="4"/>
        <v>3.109645502947787</v>
      </c>
      <c r="J18" s="8">
        <f t="shared" si="5"/>
        <v>0.75667000978972154</v>
      </c>
      <c r="K18" s="8">
        <f t="shared" si="6"/>
        <v>0.24332999021027846</v>
      </c>
      <c r="L18" s="10">
        <f t="shared" si="10"/>
        <v>-1.4133367724640584</v>
      </c>
      <c r="M18" s="44">
        <f t="shared" si="11"/>
        <v>18</v>
      </c>
      <c r="N18" s="1">
        <f t="shared" si="7"/>
        <v>62</v>
      </c>
      <c r="O18" s="1" t="str">
        <f t="shared" si="8"/>
        <v/>
      </c>
      <c r="P18" s="73"/>
      <c r="Q18" s="39">
        <f t="shared" si="20"/>
        <v>54</v>
      </c>
      <c r="R18" s="13">
        <f t="shared" si="13"/>
        <v>1.5833772337753658</v>
      </c>
      <c r="S18" s="8">
        <f t="shared" si="14"/>
        <v>4.871379850280098</v>
      </c>
      <c r="T18" s="23">
        <f t="shared" si="15"/>
        <v>0.82968228499944618</v>
      </c>
      <c r="U18" s="8">
        <f t="shared" si="16"/>
        <v>0.85836020721139827</v>
      </c>
      <c r="V18" s="8">
        <f t="shared" si="17"/>
        <v>3.551401869158874</v>
      </c>
      <c r="W18" s="8">
        <f t="shared" si="18"/>
        <v>0.99999997726264966</v>
      </c>
      <c r="X18" s="8">
        <f t="shared" si="19"/>
        <v>1.6140350877192984</v>
      </c>
      <c r="Z18" s="8"/>
      <c r="AA18" s="8"/>
      <c r="AH18" s="27"/>
      <c r="AI18" s="27"/>
      <c r="AR18" s="1"/>
      <c r="AS18" s="64">
        <v>62</v>
      </c>
      <c r="AT18" s="65">
        <v>1</v>
      </c>
      <c r="AU18" s="27">
        <f>SUM(AT$2:AT18)/COUNTA(AS$2:AS18)</f>
        <v>0.70588235294117652</v>
      </c>
      <c r="AV18" s="27">
        <f t="shared" si="9"/>
        <v>1.1393188854489165</v>
      </c>
      <c r="AW18" s="27"/>
      <c r="AY18" s="13">
        <f t="shared" si="0"/>
        <v>1.1345087335038011</v>
      </c>
      <c r="AZ18" s="36">
        <f t="shared" si="1"/>
        <v>3.109645502947787</v>
      </c>
      <c r="BA18" s="23">
        <f t="shared" si="2"/>
        <v>0.75667000978972154</v>
      </c>
    </row>
    <row r="19" spans="1:53" x14ac:dyDescent="0.2">
      <c r="A19" s="64">
        <v>62</v>
      </c>
      <c r="B19" s="65">
        <v>1</v>
      </c>
      <c r="D19" s="5" t="s">
        <v>18</v>
      </c>
      <c r="E19" s="1" t="str">
        <f>CHAR(COLUMN(S11)+64)&amp;ROW(S11)</f>
        <v>S11</v>
      </c>
      <c r="F19" s="1" t="str">
        <f ca="1">_xlfn.FORMULATEXT(S11)</f>
        <v>=EXP(R11)</v>
      </c>
      <c r="H19" s="8">
        <f t="shared" si="3"/>
        <v>1.1345087335038011</v>
      </c>
      <c r="I19" s="8">
        <f t="shared" si="4"/>
        <v>3.109645502947787</v>
      </c>
      <c r="J19" s="8">
        <f t="shared" si="5"/>
        <v>0.75667000978972154</v>
      </c>
      <c r="K19" s="8">
        <f t="shared" si="6"/>
        <v>0.75667000978972154</v>
      </c>
      <c r="L19" s="10">
        <f t="shared" si="10"/>
        <v>-0.2788280389602571</v>
      </c>
      <c r="M19" s="44">
        <f t="shared" si="11"/>
        <v>19</v>
      </c>
      <c r="N19" s="1" t="str">
        <f t="shared" si="7"/>
        <v/>
      </c>
      <c r="O19" s="1">
        <f t="shared" si="8"/>
        <v>62</v>
      </c>
      <c r="P19" s="73"/>
      <c r="Q19" s="39">
        <f t="shared" si="20"/>
        <v>56</v>
      </c>
      <c r="R19" s="13">
        <f t="shared" si="13"/>
        <v>1.4711601087074748</v>
      </c>
      <c r="S19" s="8">
        <f t="shared" si="14"/>
        <v>4.3542836544667107</v>
      </c>
      <c r="T19" s="23">
        <f t="shared" si="15"/>
        <v>0.81323365280325244</v>
      </c>
      <c r="U19" s="8">
        <f t="shared" si="16"/>
        <v>0.8330501391659505</v>
      </c>
      <c r="V19" s="8">
        <f t="shared" si="17"/>
        <v>3.2406542056074725</v>
      </c>
      <c r="W19" s="8">
        <f t="shared" si="18"/>
        <v>0.99999992119317826</v>
      </c>
      <c r="X19" s="8">
        <f t="shared" si="19"/>
        <v>1.6140350877192984</v>
      </c>
      <c r="Z19" s="8"/>
      <c r="AA19" s="8"/>
      <c r="AH19" s="27"/>
      <c r="AI19" s="27"/>
      <c r="AR19" s="1"/>
      <c r="AS19" s="64">
        <v>62</v>
      </c>
      <c r="AT19" s="65">
        <v>1</v>
      </c>
      <c r="AU19" s="27">
        <f>SUM(AT$2:AT19)/COUNTA(AS$2:AS19)</f>
        <v>0.72222222222222221</v>
      </c>
      <c r="AV19" s="27">
        <f t="shared" si="9"/>
        <v>1.165692007797271</v>
      </c>
      <c r="AW19" s="27"/>
      <c r="AY19" s="13">
        <f t="shared" si="0"/>
        <v>1.1345087335038011</v>
      </c>
      <c r="AZ19" s="36">
        <f t="shared" si="1"/>
        <v>3.109645502947787</v>
      </c>
      <c r="BA19" s="23">
        <f t="shared" si="2"/>
        <v>0.75667000978972154</v>
      </c>
    </row>
    <row r="20" spans="1:53" x14ac:dyDescent="0.2">
      <c r="A20" s="64">
        <v>62</v>
      </c>
      <c r="B20" s="65">
        <v>1</v>
      </c>
      <c r="D20" s="5" t="s">
        <v>40</v>
      </c>
      <c r="E20" s="23" t="str">
        <f>CHAR(COLUMN(T11)+64)&amp;ROW(T11)</f>
        <v>T11</v>
      </c>
      <c r="F20" s="1" t="str">
        <f ca="1">_xlfn.FORMULATEXT(T11)</f>
        <v>=S11/(1+S11)</v>
      </c>
      <c r="H20" s="8">
        <f t="shared" si="3"/>
        <v>1.1345087335038011</v>
      </c>
      <c r="I20" s="8">
        <f t="shared" si="4"/>
        <v>3.109645502947787</v>
      </c>
      <c r="J20" s="8">
        <f t="shared" si="5"/>
        <v>0.75667000978972154</v>
      </c>
      <c r="K20" s="8">
        <f t="shared" si="6"/>
        <v>0.75667000978972154</v>
      </c>
      <c r="L20" s="10">
        <f t="shared" si="10"/>
        <v>-0.2788280389602571</v>
      </c>
      <c r="M20" s="44">
        <f t="shared" si="11"/>
        <v>20</v>
      </c>
      <c r="N20" s="1" t="str">
        <f t="shared" si="7"/>
        <v/>
      </c>
      <c r="O20" s="1">
        <f t="shared" si="8"/>
        <v>62</v>
      </c>
      <c r="P20" s="73"/>
      <c r="Q20" s="39">
        <f t="shared" si="20"/>
        <v>58</v>
      </c>
      <c r="R20" s="13">
        <f t="shared" si="13"/>
        <v>1.3589429836395834</v>
      </c>
      <c r="S20" s="8">
        <f t="shared" si="14"/>
        <v>3.8920771375415941</v>
      </c>
      <c r="T20" s="23">
        <f t="shared" si="15"/>
        <v>0.79558785115507635</v>
      </c>
      <c r="U20" s="8">
        <f t="shared" si="16"/>
        <v>0.80774007112050272</v>
      </c>
      <c r="V20" s="8">
        <f t="shared" si="17"/>
        <v>2.929906542056071</v>
      </c>
      <c r="W20" s="8">
        <f t="shared" si="18"/>
        <v>0.99999972685848704</v>
      </c>
      <c r="X20" s="8">
        <f t="shared" si="19"/>
        <v>1.3450292397660819</v>
      </c>
      <c r="Z20" s="8"/>
      <c r="AA20" s="8"/>
      <c r="AH20" s="27"/>
      <c r="AI20" s="27"/>
      <c r="AR20" s="1"/>
      <c r="AS20" s="64">
        <v>62</v>
      </c>
      <c r="AT20" s="65">
        <v>1</v>
      </c>
      <c r="AU20" s="27">
        <f>SUM(AT$2:AT20)/COUNTA(AS$2:AS20)</f>
        <v>0.73684210526315785</v>
      </c>
      <c r="AV20" s="27">
        <f t="shared" si="9"/>
        <v>1.1892890120036934</v>
      </c>
      <c r="AW20" s="4"/>
      <c r="AY20" s="13">
        <f t="shared" si="0"/>
        <v>1.1345087335038011</v>
      </c>
      <c r="AZ20" s="36">
        <f t="shared" si="1"/>
        <v>3.109645502947787</v>
      </c>
      <c r="BA20" s="23">
        <f t="shared" si="2"/>
        <v>0.75667000978972154</v>
      </c>
    </row>
    <row r="21" spans="1:53" x14ac:dyDescent="0.2">
      <c r="A21" s="64">
        <v>62</v>
      </c>
      <c r="B21" s="65">
        <v>1</v>
      </c>
      <c r="D21" s="5" t="str">
        <f>U10</f>
        <v>pY OLS1</v>
      </c>
      <c r="E21" s="23" t="str">
        <f>CHAR(COLUMN(U11)+64)&amp;ROW(U11)</f>
        <v>U11</v>
      </c>
      <c r="F21" s="14" t="str">
        <f ca="1">_xlfn.FORMULATEXT(U11)</f>
        <v>=E$50+D$30*(Q11-E$61)</v>
      </c>
      <c r="H21" s="8">
        <f t="shared" si="3"/>
        <v>1.1345087335038011</v>
      </c>
      <c r="I21" s="8">
        <f t="shared" si="4"/>
        <v>3.109645502947787</v>
      </c>
      <c r="J21" s="8">
        <f t="shared" si="5"/>
        <v>0.75667000978972154</v>
      </c>
      <c r="K21" s="8">
        <f t="shared" si="6"/>
        <v>0.75667000978972154</v>
      </c>
      <c r="L21" s="10">
        <f t="shared" si="10"/>
        <v>-0.2788280389602571</v>
      </c>
      <c r="M21" s="44">
        <f t="shared" si="11"/>
        <v>21</v>
      </c>
      <c r="N21" s="1" t="str">
        <f t="shared" si="7"/>
        <v/>
      </c>
      <c r="O21" s="1">
        <f t="shared" si="8"/>
        <v>62</v>
      </c>
      <c r="P21" s="73"/>
      <c r="Q21" s="39">
        <f t="shared" si="20"/>
        <v>60</v>
      </c>
      <c r="R21" s="13">
        <f t="shared" si="13"/>
        <v>1.246725858571692</v>
      </c>
      <c r="S21" s="8">
        <f t="shared" ref="S21:S46" si="21">EXP(R21)</f>
        <v>3.4789337688266082</v>
      </c>
      <c r="T21" s="23">
        <f t="shared" ref="T21:T46" si="22">S21/(1+S21)</f>
        <v>0.77673257707894616</v>
      </c>
      <c r="U21" s="8">
        <f t="shared" si="16"/>
        <v>0.78243000307505495</v>
      </c>
      <c r="V21" s="8">
        <f t="shared" si="17"/>
        <v>2.6191588785046696</v>
      </c>
      <c r="W21" s="8">
        <f t="shared" si="18"/>
        <v>0.99999905330212957</v>
      </c>
      <c r="X21" s="8">
        <f t="shared" si="19"/>
        <v>1.2912280701754386</v>
      </c>
      <c r="Z21" s="8"/>
      <c r="AA21" s="8"/>
      <c r="AH21" s="27"/>
      <c r="AI21" s="27"/>
      <c r="AR21" s="1"/>
      <c r="AS21" s="64">
        <v>62</v>
      </c>
      <c r="AT21" s="65">
        <v>0</v>
      </c>
      <c r="AU21" s="27">
        <f>SUM(AT$2:AT21)/COUNTA(AS$2:AS21)</f>
        <v>0.7</v>
      </c>
      <c r="AV21" s="27">
        <f t="shared" si="9"/>
        <v>1.1298245614035087</v>
      </c>
      <c r="AW21" s="4"/>
      <c r="AY21" s="13">
        <f t="shared" si="0"/>
        <v>1.1345087335038011</v>
      </c>
      <c r="AZ21" s="36">
        <f t="shared" si="1"/>
        <v>3.109645502947787</v>
      </c>
      <c r="BA21" s="23">
        <f t="shared" si="2"/>
        <v>0.75667000978972154</v>
      </c>
    </row>
    <row r="22" spans="1:53" x14ac:dyDescent="0.2">
      <c r="A22" s="64">
        <v>62</v>
      </c>
      <c r="B22" s="65">
        <v>0</v>
      </c>
      <c r="D22" s="5" t="str">
        <f>V10</f>
        <v>pY OLS2</v>
      </c>
      <c r="E22" s="23" t="str">
        <f>CHAR(COLUMN(V11)+64)&amp;ROW(V11)</f>
        <v>V11</v>
      </c>
      <c r="F22" s="14" t="str">
        <f ca="1">_xlfn.FORMULATEXT(V11)</f>
        <v>=E$50+D$42*(Q11-E$61)</v>
      </c>
      <c r="H22" s="8">
        <f t="shared" si="3"/>
        <v>1.1345087335038011</v>
      </c>
      <c r="I22" s="8">
        <f t="shared" si="4"/>
        <v>3.109645502947787</v>
      </c>
      <c r="J22" s="8">
        <f t="shared" si="5"/>
        <v>0.75667000978972154</v>
      </c>
      <c r="K22" s="8">
        <f t="shared" si="6"/>
        <v>0.24332999021027846</v>
      </c>
      <c r="L22" s="10">
        <f t="shared" si="10"/>
        <v>-1.4133367724640584</v>
      </c>
      <c r="M22" s="44">
        <f t="shared" si="11"/>
        <v>22</v>
      </c>
      <c r="N22" s="1">
        <f t="shared" si="7"/>
        <v>62</v>
      </c>
      <c r="O22" s="1" t="str">
        <f t="shared" si="8"/>
        <v/>
      </c>
      <c r="P22" s="73"/>
      <c r="Q22" s="39">
        <f t="shared" si="20"/>
        <v>62</v>
      </c>
      <c r="R22" s="13">
        <f t="shared" si="13"/>
        <v>1.1345087335038011</v>
      </c>
      <c r="S22" s="8">
        <f t="shared" si="21"/>
        <v>3.109645502947787</v>
      </c>
      <c r="T22" s="23">
        <f t="shared" si="22"/>
        <v>0.75667000978972154</v>
      </c>
      <c r="U22" s="8">
        <f t="shared" si="16"/>
        <v>0.75711993502960717</v>
      </c>
      <c r="V22" s="8">
        <f t="shared" si="17"/>
        <v>2.3084112149532681</v>
      </c>
      <c r="W22" s="8">
        <f t="shared" si="18"/>
        <v>0.99999671878741581</v>
      </c>
      <c r="X22" s="8">
        <f t="shared" si="19"/>
        <v>1.1298245614035087</v>
      </c>
      <c r="Z22" s="8"/>
      <c r="AA22" s="9"/>
      <c r="AH22" s="27"/>
      <c r="AI22" s="27"/>
      <c r="AR22" s="1"/>
      <c r="AS22" s="64">
        <v>64</v>
      </c>
      <c r="AT22" s="65">
        <v>1</v>
      </c>
      <c r="AU22" s="27">
        <f>SUM(AT$2:AT22)/COUNTA(AS$2:AS22)</f>
        <v>0.7142857142857143</v>
      </c>
      <c r="AV22" s="27">
        <f t="shared" si="9"/>
        <v>1.1528822055137846</v>
      </c>
      <c r="AW22" s="4"/>
      <c r="AY22" s="13">
        <f t="shared" si="0"/>
        <v>1.0222916084359097</v>
      </c>
      <c r="AZ22" s="36">
        <f t="shared" si="1"/>
        <v>2.7795571277187321</v>
      </c>
      <c r="BA22" s="23">
        <f t="shared" si="2"/>
        <v>0.73541873658526213</v>
      </c>
    </row>
    <row r="23" spans="1:53" x14ac:dyDescent="0.2">
      <c r="A23" s="64">
        <v>64</v>
      </c>
      <c r="B23" s="65">
        <v>1</v>
      </c>
      <c r="D23" s="10" t="str">
        <f>W10</f>
        <v>pY Est</v>
      </c>
      <c r="E23" s="23" t="str">
        <f>CHAR(COLUMN(W11)+64)&amp;ROW(W11)</f>
        <v>W11</v>
      </c>
      <c r="F23" s="56" t="str">
        <f ca="1">_xlfn.FORMULATEXT(W11)</f>
        <v>=1/(1+EXP((4*D$42)*(D$32-Q11)))</v>
      </c>
      <c r="H23" s="8">
        <f t="shared" si="3"/>
        <v>1.0222916084359097</v>
      </c>
      <c r="I23" s="8">
        <f t="shared" si="4"/>
        <v>2.7795571277187321</v>
      </c>
      <c r="J23" s="8">
        <f t="shared" si="5"/>
        <v>0.73541873658526213</v>
      </c>
      <c r="K23" s="8">
        <f t="shared" si="6"/>
        <v>0.73541873658526213</v>
      </c>
      <c r="L23" s="10">
        <f t="shared" si="10"/>
        <v>-0.30731523235241442</v>
      </c>
      <c r="M23" s="44">
        <f t="shared" si="11"/>
        <v>23</v>
      </c>
      <c r="N23" s="1" t="str">
        <f t="shared" si="7"/>
        <v/>
      </c>
      <c r="O23" s="1">
        <f t="shared" si="8"/>
        <v>64</v>
      </c>
      <c r="P23" s="73"/>
      <c r="Q23" s="39">
        <f t="shared" si="20"/>
        <v>64</v>
      </c>
      <c r="R23" s="13">
        <f t="shared" si="13"/>
        <v>1.0222916084359097</v>
      </c>
      <c r="S23" s="8">
        <f t="shared" si="21"/>
        <v>2.7795571277187321</v>
      </c>
      <c r="T23" s="23">
        <f t="shared" si="22"/>
        <v>0.73541873658526213</v>
      </c>
      <c r="U23" s="8">
        <f t="shared" si="16"/>
        <v>0.73180986698415951</v>
      </c>
      <c r="V23" s="8">
        <f t="shared" si="17"/>
        <v>1.9976635514018666</v>
      </c>
      <c r="W23" s="8">
        <f t="shared" si="18"/>
        <v>0.99998862752903639</v>
      </c>
      <c r="X23" s="8">
        <f t="shared" si="19"/>
        <v>1.1432748538011697</v>
      </c>
      <c r="Z23" s="8"/>
      <c r="AA23" s="8"/>
      <c r="AH23" s="27"/>
      <c r="AI23" s="27"/>
      <c r="AR23" s="1"/>
      <c r="AS23" s="64">
        <v>64</v>
      </c>
      <c r="AT23" s="65">
        <v>1</v>
      </c>
      <c r="AU23" s="27">
        <f>SUM(AT$2:AT23)/COUNTA(AS$2:AS23)</f>
        <v>0.72727272727272729</v>
      </c>
      <c r="AV23" s="27">
        <f t="shared" si="9"/>
        <v>1.1738437001594897</v>
      </c>
      <c r="AW23" s="4"/>
      <c r="AY23" s="13">
        <f t="shared" si="0"/>
        <v>1.0222916084359097</v>
      </c>
      <c r="AZ23" s="36">
        <f t="shared" si="1"/>
        <v>2.7795571277187321</v>
      </c>
      <c r="BA23" s="23">
        <f t="shared" si="2"/>
        <v>0.73541873658526213</v>
      </c>
    </row>
    <row r="24" spans="1:53" x14ac:dyDescent="0.2">
      <c r="A24" s="64">
        <v>64</v>
      </c>
      <c r="B24" s="65">
        <v>1</v>
      </c>
      <c r="H24" s="8">
        <f t="shared" si="3"/>
        <v>1.0222916084359097</v>
      </c>
      <c r="I24" s="8">
        <f t="shared" si="4"/>
        <v>2.7795571277187321</v>
      </c>
      <c r="J24" s="8">
        <f t="shared" si="5"/>
        <v>0.73541873658526213</v>
      </c>
      <c r="K24" s="8">
        <f t="shared" si="6"/>
        <v>0.73541873658526213</v>
      </c>
      <c r="L24" s="10">
        <f t="shared" si="10"/>
        <v>-0.30731523235241442</v>
      </c>
      <c r="M24" s="44">
        <f t="shared" si="11"/>
        <v>24</v>
      </c>
      <c r="N24" s="1" t="str">
        <f t="shared" si="7"/>
        <v/>
      </c>
      <c r="O24" s="1">
        <f t="shared" si="8"/>
        <v>64</v>
      </c>
      <c r="P24" s="73"/>
      <c r="Q24" s="39">
        <f t="shared" si="20"/>
        <v>66</v>
      </c>
      <c r="R24" s="13">
        <f t="shared" si="13"/>
        <v>0.91007448336801833</v>
      </c>
      <c r="S24" s="8">
        <f t="shared" si="21"/>
        <v>2.4845075809857455</v>
      </c>
      <c r="T24" s="23">
        <f t="shared" si="22"/>
        <v>0.71301540411138775</v>
      </c>
      <c r="U24" s="8">
        <f t="shared" si="16"/>
        <v>0.70649979893871173</v>
      </c>
      <c r="V24" s="8">
        <f t="shared" si="17"/>
        <v>1.6869158878504651</v>
      </c>
      <c r="W24" s="8">
        <f t="shared" si="18"/>
        <v>0.99996058453634962</v>
      </c>
      <c r="X24" s="8">
        <f t="shared" si="19"/>
        <v>1.1131276467029645</v>
      </c>
      <c r="Z24" s="8"/>
      <c r="AA24" s="8"/>
      <c r="AH24" s="27"/>
      <c r="AI24" s="27"/>
      <c r="AR24" s="1"/>
      <c r="AS24" s="64">
        <v>64</v>
      </c>
      <c r="AT24" s="65">
        <v>1</v>
      </c>
      <c r="AU24" s="27">
        <f>SUM(AT$2:AT24)/COUNTA(AS$2:AS24)</f>
        <v>0.73913043478260865</v>
      </c>
      <c r="AV24" s="27">
        <f t="shared" si="9"/>
        <v>1.1929824561403508</v>
      </c>
      <c r="AW24" s="4"/>
      <c r="AY24" s="13">
        <f t="shared" si="0"/>
        <v>1.0222916084359097</v>
      </c>
      <c r="AZ24" s="36">
        <f t="shared" si="1"/>
        <v>2.7795571277187321</v>
      </c>
      <c r="BA24" s="23">
        <f t="shared" si="2"/>
        <v>0.73541873658526213</v>
      </c>
    </row>
    <row r="25" spans="1:53" x14ac:dyDescent="0.2">
      <c r="A25" s="64">
        <v>64</v>
      </c>
      <c r="B25" s="65">
        <v>1</v>
      </c>
      <c r="D25" s="79">
        <f>E3/4</f>
        <v>-1.4027140633486406E-2</v>
      </c>
      <c r="E25" s="28" t="s">
        <v>43</v>
      </c>
      <c r="F25" s="1" t="str">
        <f ca="1">_xlfn.FORMULATEXT(D25)</f>
        <v>=E3/4</v>
      </c>
      <c r="H25" s="8">
        <f t="shared" si="3"/>
        <v>1.0222916084359097</v>
      </c>
      <c r="I25" s="8">
        <f t="shared" si="4"/>
        <v>2.7795571277187321</v>
      </c>
      <c r="J25" s="8">
        <f t="shared" si="5"/>
        <v>0.73541873658526213</v>
      </c>
      <c r="K25" s="8">
        <f t="shared" si="6"/>
        <v>0.73541873658526213</v>
      </c>
      <c r="L25" s="10">
        <f t="shared" si="10"/>
        <v>-0.30731523235241442</v>
      </c>
      <c r="M25" s="44">
        <f t="shared" si="11"/>
        <v>25</v>
      </c>
      <c r="N25" s="1" t="str">
        <f t="shared" si="7"/>
        <v/>
      </c>
      <c r="O25" s="1">
        <f t="shared" si="8"/>
        <v>64</v>
      </c>
      <c r="P25" s="73"/>
      <c r="Q25" s="39">
        <f t="shared" si="20"/>
        <v>68</v>
      </c>
      <c r="R25" s="13">
        <f t="shared" si="13"/>
        <v>0.79785735830012738</v>
      </c>
      <c r="S25" s="8">
        <f t="shared" si="21"/>
        <v>2.220777496680499</v>
      </c>
      <c r="T25" s="23">
        <f t="shared" si="22"/>
        <v>0.68951596282864869</v>
      </c>
      <c r="U25" s="8">
        <f t="shared" si="16"/>
        <v>0.68118973089326396</v>
      </c>
      <c r="V25" s="8">
        <f t="shared" si="17"/>
        <v>1.3761682242990636</v>
      </c>
      <c r="W25" s="8">
        <f t="shared" si="18"/>
        <v>0.99986340071954671</v>
      </c>
      <c r="X25" s="8">
        <f t="shared" si="19"/>
        <v>1.1298245614035087</v>
      </c>
      <c r="Z25" s="8"/>
      <c r="AA25" s="8"/>
      <c r="AR25" s="1"/>
      <c r="AS25" s="64">
        <v>64</v>
      </c>
      <c r="AT25" s="65">
        <v>0</v>
      </c>
      <c r="AU25" s="27">
        <f>SUM(AT$2:AT25)/COUNTA(AS$2:AS25)</f>
        <v>0.70833333333333337</v>
      </c>
      <c r="AV25" s="27">
        <f t="shared" si="9"/>
        <v>1.1432748538011697</v>
      </c>
      <c r="AW25" s="4"/>
      <c r="AY25" s="13">
        <f t="shared" si="0"/>
        <v>1.0222916084359097</v>
      </c>
      <c r="AZ25" s="36">
        <f t="shared" si="1"/>
        <v>2.7795571277187321</v>
      </c>
      <c r="BA25" s="23">
        <f t="shared" si="2"/>
        <v>0.73541873658526213</v>
      </c>
    </row>
    <row r="26" spans="1:53" x14ac:dyDescent="0.2">
      <c r="A26" s="64">
        <v>64</v>
      </c>
      <c r="B26" s="65">
        <v>0</v>
      </c>
      <c r="D26" s="28">
        <f>-D3/E3</f>
        <v>82.219885918792244</v>
      </c>
      <c r="E26" s="57" t="s">
        <v>35</v>
      </c>
      <c r="F26" s="1" t="str">
        <f ca="1">_xlfn.FORMULATEXT(D26)</f>
        <v>=-D3/E3</v>
      </c>
      <c r="H26" s="8">
        <f t="shared" si="3"/>
        <v>1.0222916084359097</v>
      </c>
      <c r="I26" s="8">
        <f t="shared" si="4"/>
        <v>2.7795571277187321</v>
      </c>
      <c r="J26" s="8">
        <f t="shared" si="5"/>
        <v>0.73541873658526213</v>
      </c>
      <c r="K26" s="8">
        <f t="shared" si="6"/>
        <v>0.26458126341473787</v>
      </c>
      <c r="L26" s="10">
        <f t="shared" si="10"/>
        <v>-1.3296068407883241</v>
      </c>
      <c r="M26" s="44">
        <f t="shared" si="11"/>
        <v>26</v>
      </c>
      <c r="N26" s="1">
        <f t="shared" si="7"/>
        <v>64</v>
      </c>
      <c r="O26" s="1" t="str">
        <f t="shared" si="8"/>
        <v/>
      </c>
      <c r="P26" s="73"/>
      <c r="Q26" s="39">
        <f t="shared" si="20"/>
        <v>70</v>
      </c>
      <c r="R26" s="13">
        <f t="shared" si="13"/>
        <v>0.685640233232236</v>
      </c>
      <c r="S26" s="8">
        <f t="shared" si="21"/>
        <v>1.9850423188508663</v>
      </c>
      <c r="T26" s="23">
        <f t="shared" si="22"/>
        <v>0.66499637419379565</v>
      </c>
      <c r="U26" s="8">
        <f t="shared" si="16"/>
        <v>0.65587966284781618</v>
      </c>
      <c r="V26" s="8">
        <f t="shared" si="17"/>
        <v>1.0654205607476621</v>
      </c>
      <c r="W26" s="8">
        <f t="shared" si="18"/>
        <v>0.99952671130948445</v>
      </c>
      <c r="X26" s="8">
        <f t="shared" si="19"/>
        <v>1.1929824561403508</v>
      </c>
      <c r="Z26" s="8"/>
      <c r="AA26" s="8"/>
      <c r="AR26" s="1"/>
      <c r="AS26" s="64">
        <v>66</v>
      </c>
      <c r="AT26" s="65">
        <v>1</v>
      </c>
      <c r="AU26" s="27">
        <f>SUM(AT$2:AT26)/COUNTA(AS$2:AS26)</f>
        <v>0.72</v>
      </c>
      <c r="AV26" s="27">
        <f t="shared" si="9"/>
        <v>1.1621052631578948</v>
      </c>
      <c r="AW26" s="4"/>
      <c r="AY26" s="13">
        <f t="shared" si="0"/>
        <v>0.91007448336801833</v>
      </c>
      <c r="AZ26" s="36">
        <f t="shared" si="1"/>
        <v>2.4845075809857455</v>
      </c>
      <c r="BA26" s="23">
        <f t="shared" si="2"/>
        <v>0.71301540411138775</v>
      </c>
    </row>
    <row r="27" spans="1:53" x14ac:dyDescent="0.2">
      <c r="A27" s="64">
        <v>66</v>
      </c>
      <c r="B27" s="65">
        <v>1</v>
      </c>
      <c r="D27" s="38"/>
      <c r="E27" s="40"/>
      <c r="F27" s="38"/>
      <c r="G27" s="38"/>
      <c r="H27" s="8">
        <f t="shared" si="3"/>
        <v>0.91007448336801833</v>
      </c>
      <c r="I27" s="8">
        <f t="shared" si="4"/>
        <v>2.4845075809857455</v>
      </c>
      <c r="J27" s="8">
        <f t="shared" si="5"/>
        <v>0.71301540411138775</v>
      </c>
      <c r="K27" s="8">
        <f t="shared" si="6"/>
        <v>0.71301540411138775</v>
      </c>
      <c r="L27" s="10">
        <f t="shared" si="10"/>
        <v>-0.33825225415691551</v>
      </c>
      <c r="M27" s="44">
        <f t="shared" si="11"/>
        <v>27</v>
      </c>
      <c r="N27" s="1" t="str">
        <f t="shared" si="7"/>
        <v/>
      </c>
      <c r="O27" s="1">
        <f t="shared" si="8"/>
        <v>66</v>
      </c>
      <c r="P27" s="73"/>
      <c r="Q27" s="39">
        <f t="shared" si="20"/>
        <v>72</v>
      </c>
      <c r="R27" s="13">
        <f t="shared" si="13"/>
        <v>0.57342310816434505</v>
      </c>
      <c r="S27" s="8">
        <f t="shared" si="21"/>
        <v>1.7743303926299316</v>
      </c>
      <c r="T27" s="23">
        <f t="shared" si="22"/>
        <v>0.63955266371427089</v>
      </c>
      <c r="U27" s="8">
        <f t="shared" si="16"/>
        <v>0.63056959480236852</v>
      </c>
      <c r="V27" s="8">
        <f t="shared" si="17"/>
        <v>0.75467289719626041</v>
      </c>
      <c r="W27" s="8">
        <f t="shared" si="18"/>
        <v>0.99836151098503345</v>
      </c>
      <c r="X27" s="8">
        <f t="shared" si="19"/>
        <v>1.1794871794871795</v>
      </c>
      <c r="Z27" s="8"/>
      <c r="AA27" s="8"/>
      <c r="AR27" s="1"/>
      <c r="AS27" s="64">
        <v>66</v>
      </c>
      <c r="AT27" s="65">
        <v>1</v>
      </c>
      <c r="AU27" s="27">
        <f>SUM(AT$2:AT27)/COUNTA(AS$2:AS27)</f>
        <v>0.73076923076923073</v>
      </c>
      <c r="AV27" s="27">
        <f t="shared" si="9"/>
        <v>1.1794871794871795</v>
      </c>
      <c r="AW27" s="4"/>
      <c r="AY27" s="13">
        <f t="shared" si="0"/>
        <v>0.91007448336801833</v>
      </c>
      <c r="AZ27" s="36">
        <f t="shared" si="1"/>
        <v>2.4845075809857455</v>
      </c>
      <c r="BA27" s="23">
        <f t="shared" si="2"/>
        <v>0.71301540411138775</v>
      </c>
    </row>
    <row r="28" spans="1:53" x14ac:dyDescent="0.2">
      <c r="A28" s="64">
        <v>66</v>
      </c>
      <c r="B28" s="65">
        <v>1</v>
      </c>
      <c r="D28" s="42" t="s">
        <v>61</v>
      </c>
      <c r="H28" s="8">
        <f t="shared" si="3"/>
        <v>0.91007448336801833</v>
      </c>
      <c r="I28" s="8">
        <f t="shared" si="4"/>
        <v>2.4845075809857455</v>
      </c>
      <c r="J28" s="8">
        <f t="shared" si="5"/>
        <v>0.71301540411138775</v>
      </c>
      <c r="K28" s="8">
        <f t="shared" si="6"/>
        <v>0.71301540411138775</v>
      </c>
      <c r="L28" s="10">
        <f t="shared" si="10"/>
        <v>-0.33825225415691551</v>
      </c>
      <c r="M28" s="44">
        <f t="shared" si="11"/>
        <v>28</v>
      </c>
      <c r="N28" s="1" t="str">
        <f t="shared" si="7"/>
        <v/>
      </c>
      <c r="O28" s="1">
        <f t="shared" si="8"/>
        <v>66</v>
      </c>
      <c r="P28" s="73"/>
      <c r="Q28" s="39">
        <f t="shared" si="20"/>
        <v>74</v>
      </c>
      <c r="R28" s="13">
        <f t="shared" si="13"/>
        <v>0.46120598309645366</v>
      </c>
      <c r="S28" s="8">
        <f t="shared" si="21"/>
        <v>1.585985503841951</v>
      </c>
      <c r="T28" s="23">
        <f t="shared" si="22"/>
        <v>0.61330022982947174</v>
      </c>
      <c r="U28" s="8">
        <f t="shared" si="16"/>
        <v>0.60525952675692074</v>
      </c>
      <c r="V28" s="8">
        <f t="shared" si="17"/>
        <v>0.44392523364485892</v>
      </c>
      <c r="W28" s="8">
        <f t="shared" si="18"/>
        <v>0.99434391008548484</v>
      </c>
      <c r="X28" s="8">
        <f t="shared" si="19"/>
        <v>1.2176054170514006</v>
      </c>
      <c r="Z28" s="8"/>
      <c r="AA28" s="8"/>
      <c r="AR28" s="1"/>
      <c r="AS28" s="64">
        <v>66</v>
      </c>
      <c r="AT28" s="65">
        <v>1</v>
      </c>
      <c r="AU28" s="27">
        <f>SUM(AT$2:AT28)/COUNTA(AS$2:AS28)</f>
        <v>0.7407407407407407</v>
      </c>
      <c r="AV28" s="27">
        <f t="shared" si="9"/>
        <v>1.1955815464587394</v>
      </c>
      <c r="AW28" s="4"/>
      <c r="AY28" s="13">
        <f t="shared" si="0"/>
        <v>0.91007448336801833</v>
      </c>
      <c r="AZ28" s="36">
        <f t="shared" si="1"/>
        <v>2.4845075809857455</v>
      </c>
      <c r="BA28" s="23">
        <f t="shared" si="2"/>
        <v>0.71301540411138775</v>
      </c>
    </row>
    <row r="29" spans="1:53" x14ac:dyDescent="0.2">
      <c r="A29" s="64">
        <v>66</v>
      </c>
      <c r="B29" s="65">
        <v>1</v>
      </c>
      <c r="D29" s="18">
        <f>INTERCEPT(B3:B94, A3:A94)</f>
        <v>1.5417320444384874</v>
      </c>
      <c r="E29" s="6" t="s">
        <v>64</v>
      </c>
      <c r="F29" s="47" t="str">
        <f ca="1">_xlfn.FORMULATEXT(D29)</f>
        <v>=INTERCEPT(B3:B94, A3:A94)</v>
      </c>
      <c r="H29" s="8">
        <f t="shared" si="3"/>
        <v>0.91007448336801833</v>
      </c>
      <c r="I29" s="8">
        <f t="shared" si="4"/>
        <v>2.4845075809857455</v>
      </c>
      <c r="J29" s="8">
        <f t="shared" si="5"/>
        <v>0.71301540411138775</v>
      </c>
      <c r="K29" s="8">
        <f t="shared" si="6"/>
        <v>0.71301540411138775</v>
      </c>
      <c r="L29" s="10">
        <f t="shared" si="10"/>
        <v>-0.33825225415691551</v>
      </c>
      <c r="M29" s="44">
        <f t="shared" si="11"/>
        <v>29</v>
      </c>
      <c r="N29" s="1" t="str">
        <f t="shared" si="7"/>
        <v/>
      </c>
      <c r="O29" s="1">
        <f t="shared" si="8"/>
        <v>66</v>
      </c>
      <c r="P29" s="73"/>
      <c r="Q29" s="39">
        <f t="shared" si="20"/>
        <v>76</v>
      </c>
      <c r="R29" s="13">
        <f t="shared" si="13"/>
        <v>0.34898885802856228</v>
      </c>
      <c r="S29" s="8">
        <f t="shared" si="21"/>
        <v>1.4176333950231943</v>
      </c>
      <c r="T29" s="23">
        <f t="shared" si="22"/>
        <v>0.58637235816706357</v>
      </c>
      <c r="U29" s="8">
        <f t="shared" si="16"/>
        <v>0.57994945871147296</v>
      </c>
      <c r="V29" s="8">
        <f t="shared" si="17"/>
        <v>0.13317757009345738</v>
      </c>
      <c r="W29" s="8">
        <f t="shared" si="18"/>
        <v>0.98066586584312243</v>
      </c>
      <c r="X29" s="8">
        <f t="shared" si="19"/>
        <v>1.1975099037917374</v>
      </c>
      <c r="AB29" s="2"/>
      <c r="AR29" s="1"/>
      <c r="AS29" s="64">
        <v>66</v>
      </c>
      <c r="AT29" s="65">
        <v>0</v>
      </c>
      <c r="AU29" s="27">
        <f>SUM(AT$2:AT29)/COUNTA(AS$2:AS29)</f>
        <v>0.7142857142857143</v>
      </c>
      <c r="AV29" s="27">
        <f t="shared" si="9"/>
        <v>1.1528822055137846</v>
      </c>
      <c r="AW29" s="4"/>
      <c r="AY29" s="13">
        <f t="shared" si="0"/>
        <v>0.91007448336801833</v>
      </c>
      <c r="AZ29" s="36">
        <f t="shared" si="1"/>
        <v>2.4845075809857455</v>
      </c>
      <c r="BA29" s="23">
        <f t="shared" si="2"/>
        <v>0.71301540411138775</v>
      </c>
    </row>
    <row r="30" spans="1:53" x14ac:dyDescent="0.2">
      <c r="A30" s="64">
        <v>66</v>
      </c>
      <c r="B30" s="65">
        <v>0</v>
      </c>
      <c r="D30" s="43">
        <f>SLOPE(B3:B94,A3:A94)</f>
        <v>-1.2655034022723874E-2</v>
      </c>
      <c r="E30" s="28" t="s">
        <v>65</v>
      </c>
      <c r="F30" s="48" t="str">
        <f ca="1">_xlfn.FORMULATEXT(D30)</f>
        <v>=SLOPE(B3:B94,A3:A94)</v>
      </c>
      <c r="H30" s="8">
        <f t="shared" si="3"/>
        <v>0.91007448336801833</v>
      </c>
      <c r="I30" s="8">
        <f t="shared" si="4"/>
        <v>2.4845075809857455</v>
      </c>
      <c r="J30" s="8">
        <f t="shared" si="5"/>
        <v>0.71301540411138775</v>
      </c>
      <c r="K30" s="8">
        <f t="shared" si="6"/>
        <v>0.28698459588861225</v>
      </c>
      <c r="L30" s="10">
        <f t="shared" si="10"/>
        <v>-1.2483267375249338</v>
      </c>
      <c r="M30" s="44">
        <f t="shared" si="11"/>
        <v>30</v>
      </c>
      <c r="N30" s="1">
        <f t="shared" si="7"/>
        <v>66</v>
      </c>
      <c r="O30" s="1" t="str">
        <f t="shared" si="8"/>
        <v/>
      </c>
      <c r="P30" s="73"/>
      <c r="Q30" s="39">
        <f t="shared" si="20"/>
        <v>78</v>
      </c>
      <c r="R30" s="13">
        <f t="shared" si="13"/>
        <v>0.23677173296067089</v>
      </c>
      <c r="S30" s="8">
        <f t="shared" si="21"/>
        <v>1.2671518357618357</v>
      </c>
      <c r="T30" s="23">
        <f t="shared" si="22"/>
        <v>0.55891794090448821</v>
      </c>
      <c r="U30" s="8">
        <f t="shared" si="16"/>
        <v>0.55463939066602519</v>
      </c>
      <c r="V30" s="8">
        <f t="shared" si="17"/>
        <v>-0.17757009345794417</v>
      </c>
      <c r="W30" s="8">
        <f t="shared" si="18"/>
        <v>0.93603812464050307</v>
      </c>
      <c r="X30" s="8">
        <f t="shared" si="19"/>
        <v>1.1322335689971197</v>
      </c>
      <c r="AR30" s="1"/>
      <c r="AS30" s="64">
        <v>66</v>
      </c>
      <c r="AT30" s="65">
        <v>0</v>
      </c>
      <c r="AU30" s="27">
        <f>SUM(AT$2:AT30)/COUNTA(AS$2:AS30)</f>
        <v>0.68965517241379315</v>
      </c>
      <c r="AV30" s="27">
        <f t="shared" si="9"/>
        <v>1.1131276467029645</v>
      </c>
      <c r="AW30" s="4"/>
      <c r="AY30" s="13">
        <f t="shared" si="0"/>
        <v>0.91007448336801833</v>
      </c>
      <c r="AZ30" s="36">
        <f t="shared" si="1"/>
        <v>2.4845075809857455</v>
      </c>
      <c r="BA30" s="23">
        <f t="shared" si="2"/>
        <v>0.71301540411138775</v>
      </c>
    </row>
    <row r="31" spans="1:53" x14ac:dyDescent="0.2">
      <c r="A31" s="64">
        <v>66</v>
      </c>
      <c r="B31" s="65">
        <v>0</v>
      </c>
      <c r="D31">
        <f>-D29/D30</f>
        <v>121.82757009345792</v>
      </c>
      <c r="E31" s="32" t="s">
        <v>44</v>
      </c>
      <c r="F31" s="15" t="str">
        <f ca="1">_xlfn.FORMULATEXT(D31)</f>
        <v>=-D29/D30</v>
      </c>
      <c r="H31" s="8">
        <f t="shared" si="3"/>
        <v>0.91007448336801833</v>
      </c>
      <c r="I31" s="8">
        <f t="shared" si="4"/>
        <v>2.4845075809857455</v>
      </c>
      <c r="J31" s="8">
        <f t="shared" si="5"/>
        <v>0.71301540411138775</v>
      </c>
      <c r="K31" s="8">
        <f t="shared" si="6"/>
        <v>0.28698459588861225</v>
      </c>
      <c r="L31" s="10">
        <f t="shared" si="10"/>
        <v>-1.2483267375249338</v>
      </c>
      <c r="M31" s="44">
        <f t="shared" si="11"/>
        <v>31</v>
      </c>
      <c r="N31" s="1">
        <f t="shared" si="7"/>
        <v>66</v>
      </c>
      <c r="O31" s="1" t="str">
        <f t="shared" si="8"/>
        <v/>
      </c>
      <c r="P31" s="73"/>
      <c r="Q31" s="39">
        <f t="shared" si="20"/>
        <v>80</v>
      </c>
      <c r="R31" s="13">
        <f t="shared" si="13"/>
        <v>0.1245546078927795</v>
      </c>
      <c r="S31" s="8">
        <f t="shared" si="21"/>
        <v>1.1326438700665056</v>
      </c>
      <c r="T31" s="23">
        <f t="shared" si="22"/>
        <v>0.5310984576300517</v>
      </c>
      <c r="U31" s="8">
        <f t="shared" si="16"/>
        <v>0.52932932262057752</v>
      </c>
      <c r="V31" s="8">
        <f t="shared" si="17"/>
        <v>-0.48831775700934565</v>
      </c>
      <c r="W31" s="8">
        <f t="shared" si="18"/>
        <v>0.80851323342075054</v>
      </c>
      <c r="X31" s="8">
        <f t="shared" si="19"/>
        <v>1.1067669172932331</v>
      </c>
      <c r="AR31" s="1"/>
      <c r="AS31" s="64">
        <v>68</v>
      </c>
      <c r="AT31" s="65">
        <v>1</v>
      </c>
      <c r="AU31" s="27">
        <f>SUM(AT$2:AT31)/COUNTA(AS$2:AS31)</f>
        <v>0.7</v>
      </c>
      <c r="AV31" s="27">
        <f t="shared" si="9"/>
        <v>1.1298245614035087</v>
      </c>
      <c r="AW31" s="4"/>
      <c r="AY31" s="13">
        <f t="shared" si="0"/>
        <v>0.79785735830012738</v>
      </c>
      <c r="AZ31" s="36">
        <f t="shared" si="1"/>
        <v>2.220777496680499</v>
      </c>
      <c r="BA31" s="23">
        <f t="shared" si="2"/>
        <v>0.68951596282864869</v>
      </c>
    </row>
    <row r="32" spans="1:53" x14ac:dyDescent="0.2">
      <c r="A32" s="64">
        <v>68</v>
      </c>
      <c r="B32" s="65">
        <v>1</v>
      </c>
      <c r="D32" s="28">
        <f>(0.5-D29)/D30</f>
        <v>82.317601246105909</v>
      </c>
      <c r="E32" s="57" t="s">
        <v>45</v>
      </c>
      <c r="F32" s="15" t="str">
        <f ca="1">_xlfn.FORMULATEXT(D32)</f>
        <v>=(0.5-D29)/D30</v>
      </c>
      <c r="H32" s="8">
        <f t="shared" si="3"/>
        <v>0.79785735830012738</v>
      </c>
      <c r="I32" s="8">
        <f t="shared" si="4"/>
        <v>2.220777496680499</v>
      </c>
      <c r="J32" s="8">
        <f t="shared" si="5"/>
        <v>0.68951596282864869</v>
      </c>
      <c r="K32" s="8">
        <f t="shared" si="6"/>
        <v>0.68951596282864869</v>
      </c>
      <c r="L32" s="10">
        <f t="shared" si="10"/>
        <v>-0.37176543070618251</v>
      </c>
      <c r="M32" s="44">
        <f t="shared" si="11"/>
        <v>32</v>
      </c>
      <c r="N32" s="1" t="str">
        <f t="shared" si="7"/>
        <v/>
      </c>
      <c r="O32" s="1">
        <f t="shared" si="8"/>
        <v>68</v>
      </c>
      <c r="P32" s="73"/>
      <c r="Q32" s="39">
        <f t="shared" si="20"/>
        <v>82</v>
      </c>
      <c r="R32" s="13">
        <f t="shared" si="13"/>
        <v>1.2337482824888113E-2</v>
      </c>
      <c r="S32" s="8">
        <f t="shared" si="21"/>
        <v>1.0124139035224125</v>
      </c>
      <c r="T32" s="23">
        <f t="shared" si="22"/>
        <v>0.50308433158325028</v>
      </c>
      <c r="U32" s="8">
        <f t="shared" si="16"/>
        <v>0.50401925457512975</v>
      </c>
      <c r="V32" s="8">
        <f t="shared" si="17"/>
        <v>-0.79906542056074736</v>
      </c>
      <c r="W32" s="8">
        <f t="shared" si="18"/>
        <v>0.54918732356036914</v>
      </c>
      <c r="X32" s="8">
        <f t="shared" si="19"/>
        <v>1.0833934150444606</v>
      </c>
      <c r="AR32" s="1"/>
      <c r="AS32" s="64">
        <v>68</v>
      </c>
      <c r="AT32" s="65">
        <v>1</v>
      </c>
      <c r="AU32" s="27">
        <f>SUM(AT$2:AT32)/COUNTA(AS$2:AS32)</f>
        <v>0.70967741935483875</v>
      </c>
      <c r="AV32" s="27">
        <f t="shared" si="9"/>
        <v>1.1454442558007925</v>
      </c>
      <c r="AW32" s="4"/>
      <c r="AY32" s="13">
        <f t="shared" si="0"/>
        <v>0.79785735830012738</v>
      </c>
      <c r="AZ32" s="36">
        <f t="shared" si="1"/>
        <v>2.220777496680499</v>
      </c>
      <c r="BA32" s="23">
        <f t="shared" si="2"/>
        <v>0.68951596282864869</v>
      </c>
    </row>
    <row r="33" spans="1:53" x14ac:dyDescent="0.2">
      <c r="A33" s="64">
        <v>68</v>
      </c>
      <c r="B33" s="65">
        <v>1</v>
      </c>
      <c r="D33">
        <f>-(D29-1)/D30</f>
        <v>42.807632398753903</v>
      </c>
      <c r="E33" s="32" t="s">
        <v>46</v>
      </c>
      <c r="F33" s="15" t="str">
        <f ca="1">_xlfn.FORMULATEXT(D33)</f>
        <v>=-(D29-1)/D30</v>
      </c>
      <c r="H33" s="8">
        <f t="shared" si="3"/>
        <v>0.79785735830012738</v>
      </c>
      <c r="I33" s="8">
        <f t="shared" si="4"/>
        <v>2.220777496680499</v>
      </c>
      <c r="J33" s="8">
        <f t="shared" si="5"/>
        <v>0.68951596282864869</v>
      </c>
      <c r="K33" s="8">
        <f t="shared" si="6"/>
        <v>0.68951596282864869</v>
      </c>
      <c r="L33" s="10">
        <f t="shared" si="10"/>
        <v>-0.37176543070618251</v>
      </c>
      <c r="M33" s="44">
        <f t="shared" si="11"/>
        <v>33</v>
      </c>
      <c r="N33" s="1" t="str">
        <f t="shared" si="7"/>
        <v/>
      </c>
      <c r="O33" s="1">
        <f t="shared" si="8"/>
        <v>68</v>
      </c>
      <c r="P33" s="73"/>
      <c r="Q33" s="39">
        <f t="shared" si="20"/>
        <v>84</v>
      </c>
      <c r="R33" s="13">
        <f t="shared" si="13"/>
        <v>-9.9879642243002387E-2</v>
      </c>
      <c r="S33" s="8">
        <f t="shared" si="21"/>
        <v>0.90494632879203762</v>
      </c>
      <c r="T33" s="23">
        <f t="shared" si="22"/>
        <v>0.47505082695210693</v>
      </c>
      <c r="U33" s="8">
        <f t="shared" si="16"/>
        <v>0.47870918652968197</v>
      </c>
      <c r="V33" s="8">
        <f t="shared" si="17"/>
        <v>-1.1098130841121487</v>
      </c>
      <c r="W33" s="8">
        <f t="shared" si="18"/>
        <v>0.26007034594030437</v>
      </c>
      <c r="X33" s="8">
        <f t="shared" si="19"/>
        <v>1.0690362269309639</v>
      </c>
      <c r="AR33" s="1"/>
      <c r="AS33" s="64">
        <v>68</v>
      </c>
      <c r="AT33" s="65">
        <v>1</v>
      </c>
      <c r="AU33" s="27">
        <f>SUM(AT$2:AT33)/COUNTA(AS$2:AS33)</f>
        <v>0.71875</v>
      </c>
      <c r="AV33" s="27">
        <f t="shared" si="9"/>
        <v>1.1600877192982457</v>
      </c>
      <c r="AW33" s="4"/>
      <c r="AY33" s="13">
        <f t="shared" si="0"/>
        <v>0.79785735830012738</v>
      </c>
      <c r="AZ33" s="36">
        <f t="shared" si="1"/>
        <v>2.220777496680499</v>
      </c>
      <c r="BA33" s="23">
        <f t="shared" si="2"/>
        <v>0.68951596282864869</v>
      </c>
    </row>
    <row r="34" spans="1:53" x14ac:dyDescent="0.2">
      <c r="A34" s="64">
        <v>68</v>
      </c>
      <c r="B34" s="65">
        <v>1</v>
      </c>
      <c r="D34"/>
      <c r="E34"/>
      <c r="H34" s="8">
        <f t="shared" si="3"/>
        <v>0.79785735830012738</v>
      </c>
      <c r="I34" s="8">
        <f t="shared" si="4"/>
        <v>2.220777496680499</v>
      </c>
      <c r="J34" s="8">
        <f t="shared" si="5"/>
        <v>0.68951596282864869</v>
      </c>
      <c r="K34" s="8">
        <f t="shared" si="6"/>
        <v>0.68951596282864869</v>
      </c>
      <c r="L34" s="10">
        <f t="shared" si="10"/>
        <v>-0.37176543070618251</v>
      </c>
      <c r="M34" s="44">
        <f t="shared" si="11"/>
        <v>34</v>
      </c>
      <c r="N34" s="1" t="str">
        <f t="shared" si="7"/>
        <v/>
      </c>
      <c r="O34" s="1">
        <f t="shared" si="8"/>
        <v>68</v>
      </c>
      <c r="P34" s="73"/>
      <c r="Q34" s="39">
        <f t="shared" si="20"/>
        <v>86</v>
      </c>
      <c r="R34" s="13">
        <f t="shared" si="13"/>
        <v>-0.21209676731089377</v>
      </c>
      <c r="S34" s="8">
        <f t="shared" si="21"/>
        <v>0.80888642001552347</v>
      </c>
      <c r="T34" s="23">
        <f t="shared" si="22"/>
        <v>0.44717369264598811</v>
      </c>
      <c r="U34" s="8">
        <f t="shared" si="16"/>
        <v>0.45339911848423425</v>
      </c>
      <c r="V34" s="8">
        <f t="shared" si="17"/>
        <v>-1.4205607476635507</v>
      </c>
      <c r="W34" s="8">
        <f t="shared" si="18"/>
        <v>9.2072048699178649E-2</v>
      </c>
      <c r="X34" s="8">
        <f t="shared" si="19"/>
        <v>1.0553306342780027</v>
      </c>
      <c r="AR34" s="1"/>
      <c r="AS34" s="64">
        <v>68</v>
      </c>
      <c r="AT34" s="65">
        <v>0</v>
      </c>
      <c r="AU34" s="27">
        <f>SUM(AT$2:AT34)/COUNTA(AS$2:AS34)</f>
        <v>0.69696969696969702</v>
      </c>
      <c r="AV34" s="27">
        <f t="shared" si="9"/>
        <v>1.1249335459861778</v>
      </c>
      <c r="AW34" s="4"/>
      <c r="AY34" s="13">
        <f t="shared" ref="AY34:AY65" si="23">D$3+E$3*AS34</f>
        <v>0.79785735830012738</v>
      </c>
      <c r="AZ34" s="36">
        <f t="shared" si="1"/>
        <v>2.220777496680499</v>
      </c>
      <c r="BA34" s="23">
        <f t="shared" si="2"/>
        <v>0.68951596282864869</v>
      </c>
    </row>
    <row r="35" spans="1:53" x14ac:dyDescent="0.2">
      <c r="A35" s="64">
        <v>68</v>
      </c>
      <c r="B35" s="65">
        <v>0</v>
      </c>
      <c r="D35" s="31">
        <f>(D32-D26)/D26</f>
        <v>1.1884634261129662E-3</v>
      </c>
      <c r="E35" s="6" t="s">
        <v>47</v>
      </c>
      <c r="H35" s="8">
        <f t="shared" ref="H35:H66" si="24">D$3+E$3*A35</f>
        <v>0.79785735830012738</v>
      </c>
      <c r="I35" s="8">
        <f t="shared" si="4"/>
        <v>2.220777496680499</v>
      </c>
      <c r="J35" s="8">
        <f t="shared" si="5"/>
        <v>0.68951596282864869</v>
      </c>
      <c r="K35" s="8">
        <f t="shared" ref="K35:K66" si="25">IF(B35=1,J35,1-J35)</f>
        <v>0.31048403717135131</v>
      </c>
      <c r="L35" s="10">
        <f t="shared" si="10"/>
        <v>-1.16962278900631</v>
      </c>
      <c r="M35" s="44">
        <f t="shared" si="11"/>
        <v>35</v>
      </c>
      <c r="N35" s="1">
        <f t="shared" ref="N35:N66" si="26">IF($B35=1,"",$A35)</f>
        <v>68</v>
      </c>
      <c r="O35" s="1" t="str">
        <f t="shared" ref="O35:O66" si="27">IF($B35=1,$A35,"")</f>
        <v/>
      </c>
      <c r="P35" s="75"/>
      <c r="Q35" s="39">
        <f t="shared" si="20"/>
        <v>88</v>
      </c>
      <c r="R35" s="13">
        <f t="shared" si="13"/>
        <v>-0.32431389237878516</v>
      </c>
      <c r="S35" s="8">
        <f t="shared" si="21"/>
        <v>0.72302325526743094</v>
      </c>
      <c r="T35" s="23">
        <f t="shared" si="22"/>
        <v>0.41962478048806734</v>
      </c>
      <c r="U35" s="8">
        <f t="shared" si="16"/>
        <v>0.42808905043878653</v>
      </c>
      <c r="V35" s="8">
        <f t="shared" si="17"/>
        <v>-1.7313084112149522</v>
      </c>
      <c r="W35" s="8">
        <f t="shared" si="18"/>
        <v>2.8426799418074605E-2</v>
      </c>
      <c r="X35" s="8">
        <f t="shared" si="19"/>
        <v>1.0235344458707745</v>
      </c>
      <c r="AR35" s="1"/>
      <c r="AS35" s="64">
        <v>68</v>
      </c>
      <c r="AT35" s="65">
        <v>1</v>
      </c>
      <c r="AU35" s="27">
        <f>SUM(AT$2:AT35)/COUNTA(AS$2:AS35)</f>
        <v>0.70588235294117652</v>
      </c>
      <c r="AV35" s="27">
        <f t="shared" si="9"/>
        <v>1.1393188854489165</v>
      </c>
      <c r="AW35" s="4"/>
      <c r="AY35" s="13">
        <f t="shared" si="23"/>
        <v>0.79785735830012738</v>
      </c>
      <c r="AZ35" s="36">
        <f t="shared" si="1"/>
        <v>2.220777496680499</v>
      </c>
      <c r="BA35" s="23">
        <f t="shared" si="2"/>
        <v>0.68951596282864869</v>
      </c>
    </row>
    <row r="36" spans="1:53" x14ac:dyDescent="0.2">
      <c r="A36" s="64">
        <v>68</v>
      </c>
      <c r="B36" s="65">
        <v>1</v>
      </c>
      <c r="D36" s="31">
        <f>-(D25-D30)/D30</f>
        <v>-0.10842377889294678</v>
      </c>
      <c r="E36" s="6" t="s">
        <v>34</v>
      </c>
      <c r="H36" s="8">
        <f t="shared" si="24"/>
        <v>0.79785735830012738</v>
      </c>
      <c r="I36" s="8">
        <f t="shared" si="4"/>
        <v>2.220777496680499</v>
      </c>
      <c r="J36" s="8">
        <f t="shared" si="5"/>
        <v>0.68951596282864869</v>
      </c>
      <c r="K36" s="8">
        <f t="shared" si="25"/>
        <v>0.68951596282864869</v>
      </c>
      <c r="L36" s="10">
        <f t="shared" si="10"/>
        <v>-0.37176543070618251</v>
      </c>
      <c r="M36" s="44">
        <f t="shared" si="11"/>
        <v>36</v>
      </c>
      <c r="N36" s="1" t="str">
        <f t="shared" si="26"/>
        <v/>
      </c>
      <c r="O36" s="1">
        <f t="shared" si="27"/>
        <v>68</v>
      </c>
      <c r="P36" s="75"/>
      <c r="Q36" s="39">
        <f t="shared" si="20"/>
        <v>90</v>
      </c>
      <c r="R36" s="13">
        <f t="shared" si="13"/>
        <v>-0.43653101744667655</v>
      </c>
      <c r="S36" s="8">
        <f t="shared" si="21"/>
        <v>0.64627445179198351</v>
      </c>
      <c r="T36" s="23">
        <f t="shared" si="22"/>
        <v>0.39256786806629257</v>
      </c>
      <c r="U36" s="8">
        <f t="shared" si="16"/>
        <v>0.40277898239333876</v>
      </c>
      <c r="V36" s="8">
        <f t="shared" si="17"/>
        <v>-2.0420560747663536</v>
      </c>
      <c r="W36" s="8">
        <f t="shared" si="18"/>
        <v>8.3710063687509311E-3</v>
      </c>
      <c r="X36" s="8">
        <f t="shared" si="19"/>
        <v>1.0322317421460629</v>
      </c>
      <c r="AR36" s="1"/>
      <c r="AS36" s="64">
        <v>68</v>
      </c>
      <c r="AT36" s="65">
        <v>1</v>
      </c>
      <c r="AU36" s="27">
        <f>SUM(AT$2:AT36)/COUNTA(AS$2:AS36)</f>
        <v>0.7142857142857143</v>
      </c>
      <c r="AV36" s="27">
        <f t="shared" si="9"/>
        <v>1.1528822055137846</v>
      </c>
      <c r="AW36" s="4"/>
      <c r="AY36" s="13">
        <f t="shared" si="23"/>
        <v>0.79785735830012738</v>
      </c>
      <c r="AZ36" s="36">
        <f t="shared" si="1"/>
        <v>2.220777496680499</v>
      </c>
      <c r="BA36" s="23">
        <f t="shared" si="2"/>
        <v>0.68951596282864869</v>
      </c>
    </row>
    <row r="37" spans="1:53" x14ac:dyDescent="0.2">
      <c r="A37" s="64">
        <v>68</v>
      </c>
      <c r="B37" s="65">
        <v>1</v>
      </c>
      <c r="D37" s="33"/>
      <c r="E37" s="33"/>
      <c r="F37" s="33"/>
      <c r="G37" s="33"/>
      <c r="H37" s="8">
        <f t="shared" si="24"/>
        <v>0.79785735830012738</v>
      </c>
      <c r="I37" s="8">
        <f t="shared" si="4"/>
        <v>2.220777496680499</v>
      </c>
      <c r="J37" s="8">
        <f t="shared" si="5"/>
        <v>0.68951596282864869</v>
      </c>
      <c r="K37" s="8">
        <f t="shared" si="25"/>
        <v>0.68951596282864869</v>
      </c>
      <c r="L37" s="10">
        <f t="shared" si="10"/>
        <v>-0.37176543070618251</v>
      </c>
      <c r="M37" s="44">
        <f t="shared" si="11"/>
        <v>37</v>
      </c>
      <c r="N37" s="1" t="str">
        <f t="shared" si="26"/>
        <v/>
      </c>
      <c r="O37" s="1">
        <f t="shared" si="27"/>
        <v>68</v>
      </c>
      <c r="P37" s="75"/>
      <c r="Q37" s="39">
        <f t="shared" si="20"/>
        <v>92</v>
      </c>
      <c r="R37" s="13">
        <f t="shared" si="13"/>
        <v>-0.54874814251456794</v>
      </c>
      <c r="S37" s="8">
        <f t="shared" si="21"/>
        <v>0.5776725215906664</v>
      </c>
      <c r="T37" s="23">
        <f t="shared" si="22"/>
        <v>0.36615489823467046</v>
      </c>
      <c r="U37" s="8">
        <f t="shared" si="16"/>
        <v>0.37746891434789098</v>
      </c>
      <c r="V37" s="8">
        <f t="shared" si="17"/>
        <v>-2.3528037383177551</v>
      </c>
      <c r="W37" s="8">
        <f t="shared" si="18"/>
        <v>2.429673941512534E-3</v>
      </c>
      <c r="X37" s="8">
        <f t="shared" si="19"/>
        <v>1.0454545454545454</v>
      </c>
      <c r="AR37" s="1"/>
      <c r="AS37" s="64">
        <v>68</v>
      </c>
      <c r="AT37" s="65">
        <v>1</v>
      </c>
      <c r="AU37" s="27">
        <f>SUM(AT$2:AT37)/COUNTA(AS$2:AS37)</f>
        <v>0.72222222222222221</v>
      </c>
      <c r="AV37" s="27">
        <f t="shared" si="9"/>
        <v>1.165692007797271</v>
      </c>
      <c r="AW37" s="4"/>
      <c r="AY37" s="13">
        <f t="shared" si="23"/>
        <v>0.79785735830012738</v>
      </c>
      <c r="AZ37" s="36">
        <f t="shared" si="1"/>
        <v>2.220777496680499</v>
      </c>
      <c r="BA37" s="23">
        <f t="shared" si="2"/>
        <v>0.68951596282864869</v>
      </c>
    </row>
    <row r="38" spans="1:53" x14ac:dyDescent="0.2">
      <c r="A38" s="64">
        <v>68</v>
      </c>
      <c r="B38" s="65">
        <v>1</v>
      </c>
      <c r="D38" s="28" t="s">
        <v>62</v>
      </c>
      <c r="H38" s="8">
        <f t="shared" si="24"/>
        <v>0.79785735830012738</v>
      </c>
      <c r="I38" s="8">
        <f t="shared" si="4"/>
        <v>2.220777496680499</v>
      </c>
      <c r="J38" s="8">
        <f t="shared" si="5"/>
        <v>0.68951596282864869</v>
      </c>
      <c r="K38" s="8">
        <f t="shared" si="25"/>
        <v>0.68951596282864869</v>
      </c>
      <c r="L38" s="10">
        <f t="shared" si="10"/>
        <v>-0.37176543070618251</v>
      </c>
      <c r="M38" s="44">
        <f t="shared" si="11"/>
        <v>38</v>
      </c>
      <c r="N38" s="1" t="str">
        <f t="shared" si="26"/>
        <v/>
      </c>
      <c r="O38" s="1">
        <f t="shared" si="27"/>
        <v>68</v>
      </c>
      <c r="P38" s="75"/>
      <c r="Q38" s="39">
        <f t="shared" si="20"/>
        <v>94</v>
      </c>
      <c r="R38" s="13">
        <f t="shared" si="13"/>
        <v>-0.66096526758245933</v>
      </c>
      <c r="S38" s="8">
        <f t="shared" si="21"/>
        <v>0.51635267536202833</v>
      </c>
      <c r="T38" s="23">
        <f t="shared" si="22"/>
        <v>0.34052281092111331</v>
      </c>
      <c r="U38" s="8">
        <f t="shared" si="16"/>
        <v>0.35215884630244326</v>
      </c>
      <c r="V38" s="8">
        <f t="shared" si="17"/>
        <v>-2.6635514018691566</v>
      </c>
      <c r="W38" s="8">
        <f t="shared" si="18"/>
        <v>7.0222358664251254E-4</v>
      </c>
      <c r="X38" s="8">
        <f t="shared" si="19"/>
        <v>1.0337078651685394</v>
      </c>
      <c r="AD38" s="11"/>
      <c r="AR38" s="1"/>
      <c r="AS38" s="64">
        <v>68</v>
      </c>
      <c r="AT38" s="65">
        <v>1</v>
      </c>
      <c r="AU38" s="27">
        <f>SUM(AT$2:AT38)/COUNTA(AS$2:AS38)</f>
        <v>0.72972972972972971</v>
      </c>
      <c r="AV38" s="27">
        <f t="shared" si="9"/>
        <v>1.1778093883357041</v>
      </c>
      <c r="AW38" s="4"/>
      <c r="AY38" s="13">
        <f t="shared" si="23"/>
        <v>0.79785735830012738</v>
      </c>
      <c r="AZ38" s="36">
        <f t="shared" si="1"/>
        <v>2.220777496680499</v>
      </c>
      <c r="BA38" s="23">
        <f t="shared" si="2"/>
        <v>0.68951596282864869</v>
      </c>
    </row>
    <row r="39" spans="1:53" x14ac:dyDescent="0.2">
      <c r="A39" s="64">
        <v>68</v>
      </c>
      <c r="B39" s="65">
        <v>1</v>
      </c>
      <c r="D39" s="3">
        <f>AVERAGEIF(B3:B94,"=1",A3:A94)</f>
        <v>70.421052631578945</v>
      </c>
      <c r="E39" t="str">
        <f ca="1">_xlfn.FORMULATEXT(D39)</f>
        <v>=AVERAGEIF(B3:B94,"=1",A3:A94)</v>
      </c>
      <c r="H39" s="8">
        <f t="shared" si="24"/>
        <v>0.79785735830012738</v>
      </c>
      <c r="I39" s="8">
        <f t="shared" si="4"/>
        <v>2.220777496680499</v>
      </c>
      <c r="J39" s="8">
        <f t="shared" si="5"/>
        <v>0.68951596282864869</v>
      </c>
      <c r="K39" s="8">
        <f t="shared" si="25"/>
        <v>0.68951596282864869</v>
      </c>
      <c r="L39" s="10">
        <f t="shared" si="10"/>
        <v>-0.37176543070618251</v>
      </c>
      <c r="M39" s="44">
        <f t="shared" si="11"/>
        <v>39</v>
      </c>
      <c r="N39" s="1" t="str">
        <f t="shared" si="26"/>
        <v/>
      </c>
      <c r="O39" s="1">
        <f t="shared" si="27"/>
        <v>68</v>
      </c>
      <c r="P39" s="73"/>
      <c r="Q39" s="39">
        <f t="shared" si="20"/>
        <v>96</v>
      </c>
      <c r="R39" s="13">
        <f t="shared" si="13"/>
        <v>-0.77318239265034983</v>
      </c>
      <c r="S39" s="8">
        <f t="shared" si="21"/>
        <v>0.46154192105133407</v>
      </c>
      <c r="T39" s="23">
        <f t="shared" si="22"/>
        <v>0.31579109323072452</v>
      </c>
      <c r="U39" s="8">
        <f t="shared" si="16"/>
        <v>0.32684877825699549</v>
      </c>
      <c r="V39" s="8">
        <f t="shared" si="17"/>
        <v>-2.9742990654205581</v>
      </c>
      <c r="W39" s="8">
        <f t="shared" si="18"/>
        <v>2.0270686921133597E-4</v>
      </c>
      <c r="X39" s="8">
        <f t="shared" si="19"/>
        <v>1.0109890109890109</v>
      </c>
      <c r="AD39" s="8"/>
      <c r="AR39" s="1"/>
      <c r="AS39" s="64">
        <v>68</v>
      </c>
      <c r="AT39" s="65">
        <v>1</v>
      </c>
      <c r="AU39" s="27">
        <f>SUM(AT$2:AT39)/COUNTA(AS$2:AS39)</f>
        <v>0.73684210526315785</v>
      </c>
      <c r="AV39" s="27">
        <f t="shared" si="9"/>
        <v>1.1892890120036934</v>
      </c>
      <c r="AW39" s="4"/>
      <c r="AY39" s="13">
        <f t="shared" si="23"/>
        <v>0.79785735830012738</v>
      </c>
      <c r="AZ39" s="36">
        <f t="shared" si="1"/>
        <v>2.220777496680499</v>
      </c>
      <c r="BA39" s="23">
        <f t="shared" si="2"/>
        <v>0.68951596282864869</v>
      </c>
    </row>
    <row r="40" spans="1:53" x14ac:dyDescent="0.2">
      <c r="A40" s="64">
        <v>68</v>
      </c>
      <c r="B40" s="65">
        <v>1</v>
      </c>
      <c r="D40" s="4">
        <f>AVERAGEIF(B3:B94,"=0",A3:A94)</f>
        <v>76.857142857142861</v>
      </c>
      <c r="E40" t="str">
        <f ca="1">_xlfn.FORMULATEXT(D40)</f>
        <v>=AVERAGEIF(B3:B94,"=0",A3:A94)</v>
      </c>
      <c r="H40" s="8">
        <f t="shared" si="24"/>
        <v>0.79785735830012738</v>
      </c>
      <c r="I40" s="8">
        <f t="shared" si="4"/>
        <v>2.220777496680499</v>
      </c>
      <c r="J40" s="8">
        <f t="shared" si="5"/>
        <v>0.68951596282864869</v>
      </c>
      <c r="K40" s="8">
        <f t="shared" si="25"/>
        <v>0.68951596282864869</v>
      </c>
      <c r="L40" s="10">
        <f t="shared" si="10"/>
        <v>-0.37176543070618251</v>
      </c>
      <c r="M40" s="44">
        <f t="shared" si="11"/>
        <v>40</v>
      </c>
      <c r="N40" s="1" t="str">
        <f t="shared" si="26"/>
        <v/>
      </c>
      <c r="O40" s="1">
        <f t="shared" si="27"/>
        <v>68</v>
      </c>
      <c r="P40" s="75"/>
      <c r="Q40" s="39">
        <f t="shared" si="20"/>
        <v>98</v>
      </c>
      <c r="R40" s="13">
        <f t="shared" si="13"/>
        <v>-0.88539951771824121</v>
      </c>
      <c r="S40" s="8">
        <f t="shared" si="21"/>
        <v>0.41254931958743352</v>
      </c>
      <c r="T40" s="23">
        <f t="shared" si="22"/>
        <v>0.29206011702864132</v>
      </c>
      <c r="U40" s="8">
        <f t="shared" si="16"/>
        <v>0.30153871021154777</v>
      </c>
      <c r="V40" s="8">
        <f t="shared" si="17"/>
        <v>-3.2850467289719596</v>
      </c>
      <c r="W40" s="8">
        <f t="shared" si="18"/>
        <v>5.8493434636909387E-5</v>
      </c>
      <c r="X40" s="8">
        <f t="shared" si="19"/>
        <v>1.0109890109890109</v>
      </c>
      <c r="AD40" s="8"/>
      <c r="AR40" s="1"/>
      <c r="AS40" s="64">
        <v>68</v>
      </c>
      <c r="AT40" s="65">
        <v>0</v>
      </c>
      <c r="AU40" s="27">
        <f>SUM(AT$2:AT40)/COUNTA(AS$2:AS40)</f>
        <v>0.71794871794871795</v>
      </c>
      <c r="AV40" s="27">
        <f t="shared" si="9"/>
        <v>1.1587944219523167</v>
      </c>
      <c r="AW40" s="4"/>
      <c r="AY40" s="13">
        <f t="shared" si="23"/>
        <v>0.79785735830012738</v>
      </c>
      <c r="AZ40" s="36">
        <f t="shared" si="1"/>
        <v>2.220777496680499</v>
      </c>
      <c r="BA40" s="23">
        <f t="shared" si="2"/>
        <v>0.68951596282864869</v>
      </c>
    </row>
    <row r="41" spans="1:53" x14ac:dyDescent="0.2">
      <c r="A41" s="64">
        <v>68</v>
      </c>
      <c r="B41" s="65">
        <v>0</v>
      </c>
      <c r="D41" s="4">
        <f>D39-D40</f>
        <v>-6.4360902255639161</v>
      </c>
      <c r="E41" s="6" t="s">
        <v>29</v>
      </c>
      <c r="F41" s="1" t="str">
        <f ca="1">_xlfn.FORMULATEXT(D41)</f>
        <v>=D39-D40</v>
      </c>
      <c r="H41" s="8">
        <f t="shared" si="24"/>
        <v>0.79785735830012738</v>
      </c>
      <c r="I41" s="8">
        <f t="shared" si="4"/>
        <v>2.220777496680499</v>
      </c>
      <c r="J41" s="8">
        <f t="shared" si="5"/>
        <v>0.68951596282864869</v>
      </c>
      <c r="K41" s="8">
        <f t="shared" si="25"/>
        <v>0.31048403717135131</v>
      </c>
      <c r="L41" s="10">
        <f t="shared" si="10"/>
        <v>-1.16962278900631</v>
      </c>
      <c r="M41" s="44">
        <f t="shared" si="11"/>
        <v>41</v>
      </c>
      <c r="N41" s="1">
        <f t="shared" si="26"/>
        <v>68</v>
      </c>
      <c r="O41" s="1" t="str">
        <f t="shared" si="27"/>
        <v/>
      </c>
      <c r="P41" s="73"/>
      <c r="Q41" s="39">
        <f t="shared" si="20"/>
        <v>100</v>
      </c>
      <c r="R41" s="13">
        <f t="shared" si="13"/>
        <v>-0.9976166427861326</v>
      </c>
      <c r="S41" s="8">
        <f t="shared" si="21"/>
        <v>0.36875727497161531</v>
      </c>
      <c r="T41" s="23">
        <f t="shared" si="22"/>
        <v>0.26941027581333765</v>
      </c>
      <c r="U41" s="8">
        <f t="shared" si="16"/>
        <v>0.27622864216609999</v>
      </c>
      <c r="V41" s="8">
        <f t="shared" si="17"/>
        <v>-3.5957943925233615</v>
      </c>
      <c r="W41" s="8">
        <f t="shared" si="18"/>
        <v>1.6877231804184389E-5</v>
      </c>
      <c r="X41" s="8">
        <f t="shared" si="19"/>
        <v>1</v>
      </c>
      <c r="AD41" s="8"/>
      <c r="AR41" s="1"/>
      <c r="AS41" s="64">
        <v>68</v>
      </c>
      <c r="AT41" s="65">
        <v>0</v>
      </c>
      <c r="AU41" s="27">
        <f>SUM(AT$2:AT41)/COUNTA(AS$2:AS41)</f>
        <v>0.7</v>
      </c>
      <c r="AV41" s="27">
        <f t="shared" si="9"/>
        <v>1.1298245614035087</v>
      </c>
      <c r="AW41" s="4"/>
      <c r="AY41" s="13">
        <f t="shared" si="23"/>
        <v>0.79785735830012738</v>
      </c>
      <c r="AZ41" s="36">
        <f t="shared" si="1"/>
        <v>2.220777496680499</v>
      </c>
      <c r="BA41" s="23">
        <f t="shared" si="2"/>
        <v>0.68951596282864869</v>
      </c>
    </row>
    <row r="42" spans="1:53" x14ac:dyDescent="0.2">
      <c r="A42" s="64">
        <v>68</v>
      </c>
      <c r="B42" s="65">
        <v>0</v>
      </c>
      <c r="D42" s="46">
        <f>1/D41</f>
        <v>-0.15537383177570077</v>
      </c>
      <c r="E42" s="57" t="s">
        <v>16</v>
      </c>
      <c r="F42" s="15" t="str">
        <f t="shared" ref="F42:F43" ca="1" si="28">_xlfn.FORMULATEXT(D42)</f>
        <v>=1/D41</v>
      </c>
      <c r="H42" s="8">
        <f t="shared" si="24"/>
        <v>0.79785735830012738</v>
      </c>
      <c r="I42" s="8">
        <f t="shared" si="4"/>
        <v>2.220777496680499</v>
      </c>
      <c r="J42" s="8">
        <f t="shared" si="5"/>
        <v>0.68951596282864869</v>
      </c>
      <c r="K42" s="8">
        <f t="shared" si="25"/>
        <v>0.31048403717135131</v>
      </c>
      <c r="L42" s="10">
        <f t="shared" si="10"/>
        <v>-1.16962278900631</v>
      </c>
      <c r="M42" s="44">
        <f t="shared" si="11"/>
        <v>42</v>
      </c>
      <c r="N42" s="1">
        <f t="shared" si="26"/>
        <v>68</v>
      </c>
      <c r="O42" s="1" t="str">
        <f t="shared" si="27"/>
        <v/>
      </c>
      <c r="P42" s="73"/>
      <c r="Q42" s="39">
        <f t="shared" si="20"/>
        <v>102</v>
      </c>
      <c r="R42" s="13">
        <f t="shared" si="13"/>
        <v>-1.109833767854024</v>
      </c>
      <c r="S42" s="8">
        <f t="shared" si="21"/>
        <v>0.32961374892213874</v>
      </c>
      <c r="T42" s="23">
        <f t="shared" si="22"/>
        <v>0.24790188066973781</v>
      </c>
      <c r="U42" s="8">
        <f t="shared" si="16"/>
        <v>0.25091857412065227</v>
      </c>
      <c r="V42" s="8">
        <f t="shared" si="17"/>
        <v>-3.906542056074763</v>
      </c>
      <c r="W42" s="8">
        <f t="shared" si="18"/>
        <v>4.8694784492750898E-6</v>
      </c>
      <c r="X42" s="8">
        <f t="shared" si="19"/>
        <v>1</v>
      </c>
      <c r="AD42" s="8"/>
      <c r="AR42" s="1"/>
      <c r="AS42" s="64">
        <v>70</v>
      </c>
      <c r="AT42" s="65">
        <v>1</v>
      </c>
      <c r="AU42" s="27">
        <f>SUM(AT$2:AT42)/COUNTA(AS$2:AS42)</f>
        <v>0.70731707317073167</v>
      </c>
      <c r="AV42" s="27">
        <f t="shared" si="9"/>
        <v>1.1416345742404792</v>
      </c>
      <c r="AW42" s="4"/>
      <c r="AY42" s="13">
        <f t="shared" si="23"/>
        <v>0.685640233232236</v>
      </c>
      <c r="AZ42" s="36">
        <f t="shared" si="1"/>
        <v>1.9850423188508663</v>
      </c>
      <c r="BA42" s="23">
        <f t="shared" si="2"/>
        <v>0.66499637419379565</v>
      </c>
    </row>
    <row r="43" spans="1:53" x14ac:dyDescent="0.2">
      <c r="A43" s="64">
        <v>70</v>
      </c>
      <c r="B43" s="65">
        <v>1</v>
      </c>
      <c r="D43" s="28">
        <f>AVERAGE(D39:D40)</f>
        <v>73.639097744360896</v>
      </c>
      <c r="E43" s="57" t="s">
        <v>87</v>
      </c>
      <c r="F43" s="15" t="str">
        <f t="shared" ca="1" si="28"/>
        <v>=AVERAGE(D39:D40)</v>
      </c>
      <c r="H43" s="8">
        <f t="shared" si="24"/>
        <v>0.685640233232236</v>
      </c>
      <c r="I43" s="8">
        <f t="shared" si="4"/>
        <v>1.9850423188508663</v>
      </c>
      <c r="J43" s="8">
        <f t="shared" si="5"/>
        <v>0.66499637419379565</v>
      </c>
      <c r="K43" s="8">
        <f t="shared" si="25"/>
        <v>0.66499637419379565</v>
      </c>
      <c r="L43" s="10">
        <f t="shared" si="10"/>
        <v>-0.4079736906813039</v>
      </c>
      <c r="M43" s="44">
        <f t="shared" si="11"/>
        <v>43</v>
      </c>
      <c r="N43" s="1" t="str">
        <f t="shared" si="26"/>
        <v/>
      </c>
      <c r="O43" s="1">
        <f t="shared" si="27"/>
        <v>70</v>
      </c>
      <c r="P43" s="73"/>
      <c r="Q43" s="39">
        <f t="shared" si="20"/>
        <v>104</v>
      </c>
      <c r="R43" s="13">
        <f t="shared" si="13"/>
        <v>-1.2220508929219154</v>
      </c>
      <c r="S43" s="8">
        <f t="shared" si="21"/>
        <v>0.29462530193301156</v>
      </c>
      <c r="T43" s="23">
        <f t="shared" si="22"/>
        <v>0.22757573291137215</v>
      </c>
      <c r="U43" s="8">
        <f t="shared" si="16"/>
        <v>0.2256085060752045</v>
      </c>
      <c r="V43" s="8">
        <f t="shared" si="17"/>
        <v>-4.2172897196261641</v>
      </c>
      <c r="W43" s="8">
        <f t="shared" si="18"/>
        <v>1.4049470947455563E-6</v>
      </c>
      <c r="X43" s="8">
        <f t="shared" si="19"/>
        <v>1</v>
      </c>
      <c r="AD43" s="8"/>
      <c r="AR43" s="1"/>
      <c r="AS43" s="64">
        <v>70</v>
      </c>
      <c r="AT43" s="65">
        <v>1</v>
      </c>
      <c r="AU43" s="27">
        <f>SUM(AT$2:AT43)/COUNTA(AS$2:AS43)</f>
        <v>0.7142857142857143</v>
      </c>
      <c r="AV43" s="27">
        <f t="shared" si="9"/>
        <v>1.1528822055137846</v>
      </c>
      <c r="AW43" s="4"/>
      <c r="AY43" s="13">
        <f t="shared" si="23"/>
        <v>0.685640233232236</v>
      </c>
      <c r="AZ43" s="36">
        <f t="shared" si="1"/>
        <v>1.9850423188508663</v>
      </c>
      <c r="BA43" s="23">
        <f t="shared" si="2"/>
        <v>0.66499637419379565</v>
      </c>
    </row>
    <row r="44" spans="1:53" x14ac:dyDescent="0.2">
      <c r="A44" s="64">
        <v>70</v>
      </c>
      <c r="B44" s="65">
        <v>1</v>
      </c>
      <c r="H44" s="8">
        <f t="shared" si="24"/>
        <v>0.685640233232236</v>
      </c>
      <c r="I44" s="8">
        <f t="shared" si="4"/>
        <v>1.9850423188508663</v>
      </c>
      <c r="J44" s="8">
        <f t="shared" si="5"/>
        <v>0.66499637419379565</v>
      </c>
      <c r="K44" s="8">
        <f t="shared" si="25"/>
        <v>0.66499637419379565</v>
      </c>
      <c r="L44" s="10">
        <f t="shared" si="10"/>
        <v>-0.4079736906813039</v>
      </c>
      <c r="M44" s="44">
        <f t="shared" si="11"/>
        <v>44</v>
      </c>
      <c r="N44" s="1" t="str">
        <f t="shared" si="26"/>
        <v/>
      </c>
      <c r="O44" s="1">
        <f t="shared" si="27"/>
        <v>70</v>
      </c>
      <c r="P44" s="73"/>
      <c r="Q44" s="39">
        <f t="shared" si="20"/>
        <v>106</v>
      </c>
      <c r="R44" s="13">
        <f t="shared" si="13"/>
        <v>-1.3342680179898068</v>
      </c>
      <c r="S44" s="8">
        <f t="shared" si="21"/>
        <v>0.2633508730232702</v>
      </c>
      <c r="T44" s="23">
        <f t="shared" si="22"/>
        <v>0.20845426131938838</v>
      </c>
      <c r="U44" s="8">
        <f t="shared" si="16"/>
        <v>0.20029843802975678</v>
      </c>
      <c r="V44" s="8">
        <f t="shared" si="17"/>
        <v>-4.5280373831775655</v>
      </c>
      <c r="W44" s="8">
        <f t="shared" si="18"/>
        <v>4.0535582898559492E-7</v>
      </c>
      <c r="X44" s="8">
        <f t="shared" si="19"/>
        <v>1</v>
      </c>
      <c r="AD44" s="8"/>
      <c r="AR44" s="1"/>
      <c r="AS44" s="64">
        <v>70</v>
      </c>
      <c r="AT44" s="65">
        <v>1</v>
      </c>
      <c r="AU44" s="27">
        <f>SUM(AT$2:AT44)/COUNTA(AS$2:AS44)</f>
        <v>0.72093023255813948</v>
      </c>
      <c r="AV44" s="27">
        <f t="shared" si="9"/>
        <v>1.1636066911464709</v>
      </c>
      <c r="AW44" s="4"/>
      <c r="AY44" s="13">
        <f t="shared" si="23"/>
        <v>0.685640233232236</v>
      </c>
      <c r="AZ44" s="36">
        <f t="shared" si="1"/>
        <v>1.9850423188508663</v>
      </c>
      <c r="BA44" s="23">
        <f t="shared" si="2"/>
        <v>0.66499637419379565</v>
      </c>
    </row>
    <row r="45" spans="1:53" x14ac:dyDescent="0.2">
      <c r="A45" s="64">
        <v>70</v>
      </c>
      <c r="B45" s="65">
        <v>1</v>
      </c>
      <c r="D45" s="42" t="s">
        <v>66</v>
      </c>
      <c r="H45" s="8">
        <f t="shared" si="24"/>
        <v>0.685640233232236</v>
      </c>
      <c r="I45" s="8">
        <f t="shared" si="4"/>
        <v>1.9850423188508663</v>
      </c>
      <c r="J45" s="8">
        <f t="shared" si="5"/>
        <v>0.66499637419379565</v>
      </c>
      <c r="K45" s="8">
        <f t="shared" si="25"/>
        <v>0.66499637419379565</v>
      </c>
      <c r="L45" s="10">
        <f t="shared" si="10"/>
        <v>-0.4079736906813039</v>
      </c>
      <c r="M45" s="44">
        <f t="shared" si="11"/>
        <v>45</v>
      </c>
      <c r="N45" s="1" t="str">
        <f t="shared" si="26"/>
        <v/>
      </c>
      <c r="O45" s="1">
        <f t="shared" si="27"/>
        <v>70</v>
      </c>
      <c r="P45" s="73"/>
      <c r="Q45" s="39">
        <f t="shared" si="20"/>
        <v>108</v>
      </c>
      <c r="R45" s="13">
        <f t="shared" si="13"/>
        <v>-1.4464851430576982</v>
      </c>
      <c r="S45" s="8">
        <f t="shared" si="21"/>
        <v>0.23539621976488431</v>
      </c>
      <c r="T45" s="23">
        <f t="shared" si="22"/>
        <v>0.19054309540439099</v>
      </c>
      <c r="U45" s="8">
        <f t="shared" si="16"/>
        <v>0.174988369984309</v>
      </c>
      <c r="V45" s="8">
        <f t="shared" si="17"/>
        <v>-4.838785046728967</v>
      </c>
      <c r="W45" s="8">
        <f t="shared" si="18"/>
        <v>1.1695332290391755E-7</v>
      </c>
      <c r="X45" s="8">
        <f t="shared" si="19"/>
        <v>1</v>
      </c>
      <c r="AD45" s="8"/>
      <c r="AR45" s="1"/>
      <c r="AS45" s="64">
        <v>70</v>
      </c>
      <c r="AT45" s="65">
        <v>1</v>
      </c>
      <c r="AU45" s="27">
        <f>SUM(AT$2:AT45)/COUNTA(AS$2:AS45)</f>
        <v>0.72727272727272729</v>
      </c>
      <c r="AV45" s="27">
        <f t="shared" si="9"/>
        <v>1.1738437001594897</v>
      </c>
      <c r="AW45" s="4"/>
      <c r="AY45" s="13">
        <f t="shared" si="23"/>
        <v>0.685640233232236</v>
      </c>
      <c r="AZ45" s="36">
        <f t="shared" si="1"/>
        <v>1.9850423188508663</v>
      </c>
      <c r="BA45" s="23">
        <f t="shared" si="2"/>
        <v>0.66499637419379565</v>
      </c>
    </row>
    <row r="46" spans="1:53" x14ac:dyDescent="0.2">
      <c r="A46" s="64">
        <v>70</v>
      </c>
      <c r="B46" s="65">
        <v>1</v>
      </c>
      <c r="D46" s="31">
        <f>(D43-D26)/D26</f>
        <v>-0.10436390270483355</v>
      </c>
      <c r="E46" s="6" t="s">
        <v>36</v>
      </c>
      <c r="H46" s="8">
        <f t="shared" si="24"/>
        <v>0.685640233232236</v>
      </c>
      <c r="I46" s="8">
        <f t="shared" si="4"/>
        <v>1.9850423188508663</v>
      </c>
      <c r="J46" s="8">
        <f t="shared" si="5"/>
        <v>0.66499637419379565</v>
      </c>
      <c r="K46" s="8">
        <f t="shared" si="25"/>
        <v>0.66499637419379565</v>
      </c>
      <c r="L46" s="10">
        <f t="shared" si="10"/>
        <v>-0.4079736906813039</v>
      </c>
      <c r="M46" s="44">
        <f t="shared" si="11"/>
        <v>46</v>
      </c>
      <c r="N46" s="1" t="str">
        <f t="shared" si="26"/>
        <v/>
      </c>
      <c r="O46" s="1">
        <f t="shared" si="27"/>
        <v>70</v>
      </c>
      <c r="P46" s="73"/>
      <c r="Q46" s="39">
        <f t="shared" si="20"/>
        <v>110</v>
      </c>
      <c r="R46" s="13">
        <f t="shared" si="13"/>
        <v>-1.5587022681255887</v>
      </c>
      <c r="S46" s="8">
        <f t="shared" si="21"/>
        <v>0.21040894850081435</v>
      </c>
      <c r="T46" s="23">
        <f t="shared" si="22"/>
        <v>0.1738329419667809</v>
      </c>
      <c r="U46" s="8">
        <f t="shared" si="16"/>
        <v>0.14967830193886128</v>
      </c>
      <c r="V46" s="8">
        <f t="shared" si="17"/>
        <v>-5.1495327102803685</v>
      </c>
      <c r="W46" s="8">
        <f t="shared" si="18"/>
        <v>3.3743382859095738E-8</v>
      </c>
      <c r="X46" s="8">
        <f t="shared" si="19"/>
        <v>1</v>
      </c>
      <c r="AD46" s="8"/>
      <c r="AR46" s="1"/>
      <c r="AS46" s="64">
        <v>70</v>
      </c>
      <c r="AT46" s="65">
        <v>1</v>
      </c>
      <c r="AU46" s="27">
        <f>SUM(AT$2:AT46)/COUNTA(AS$2:AS46)</f>
        <v>0.73333333333333328</v>
      </c>
      <c r="AV46" s="27">
        <f t="shared" si="9"/>
        <v>1.183625730994152</v>
      </c>
      <c r="AW46" s="4"/>
      <c r="AY46" s="13">
        <f t="shared" si="23"/>
        <v>0.685640233232236</v>
      </c>
      <c r="AZ46" s="36">
        <f t="shared" si="1"/>
        <v>1.9850423188508663</v>
      </c>
      <c r="BA46" s="23">
        <f t="shared" si="2"/>
        <v>0.66499637419379565</v>
      </c>
    </row>
    <row r="47" spans="1:53" x14ac:dyDescent="0.2">
      <c r="A47" s="64">
        <v>70</v>
      </c>
      <c r="B47" s="65">
        <v>1</v>
      </c>
      <c r="D47" s="31">
        <f>(D42-D25)/D25</f>
        <v>10.076657448260221</v>
      </c>
      <c r="E47" s="6" t="s">
        <v>37</v>
      </c>
      <c r="H47" s="8">
        <f t="shared" si="24"/>
        <v>0.685640233232236</v>
      </c>
      <c r="I47" s="8">
        <f t="shared" si="4"/>
        <v>1.9850423188508663</v>
      </c>
      <c r="J47" s="8">
        <f t="shared" si="5"/>
        <v>0.66499637419379565</v>
      </c>
      <c r="K47" s="8">
        <f t="shared" si="25"/>
        <v>0.66499637419379565</v>
      </c>
      <c r="L47" s="10">
        <f t="shared" si="10"/>
        <v>-0.4079736906813039</v>
      </c>
      <c r="M47" s="44">
        <f t="shared" si="11"/>
        <v>47</v>
      </c>
      <c r="N47" s="1" t="str">
        <f t="shared" si="26"/>
        <v/>
      </c>
      <c r="O47" s="1">
        <f t="shared" si="27"/>
        <v>70</v>
      </c>
      <c r="P47" s="73"/>
      <c r="Q47" s="39">
        <f t="shared" si="20"/>
        <v>112</v>
      </c>
      <c r="R47" s="13">
        <f t="shared" si="13"/>
        <v>-1.67091939319348</v>
      </c>
      <c r="S47" s="8">
        <f t="shared" ref="S47:S51" si="29">EXP(R47)</f>
        <v>0.18807407210463054</v>
      </c>
      <c r="T47" s="23">
        <f t="shared" ref="T47:T51" si="30">S47/(1+S47)</f>
        <v>0.15830163835783745</v>
      </c>
      <c r="U47" s="8">
        <f t="shared" si="16"/>
        <v>0.1243682338934135</v>
      </c>
      <c r="V47" s="8">
        <f t="shared" si="17"/>
        <v>-5.46028037383177</v>
      </c>
      <c r="W47" s="8">
        <f t="shared" si="18"/>
        <v>9.7356431702446829E-9</v>
      </c>
      <c r="X47" s="8">
        <f t="shared" si="19"/>
        <v>1</v>
      </c>
      <c r="AD47" s="8"/>
      <c r="AR47" s="1"/>
      <c r="AS47" s="64">
        <v>70</v>
      </c>
      <c r="AT47" s="65">
        <v>1</v>
      </c>
      <c r="AU47" s="27">
        <f>SUM(AT$2:AT47)/COUNTA(AS$2:AS47)</f>
        <v>0.73913043478260865</v>
      </c>
      <c r="AV47" s="27">
        <f t="shared" si="9"/>
        <v>1.1929824561403508</v>
      </c>
      <c r="AW47" s="4"/>
      <c r="AY47" s="13">
        <f t="shared" si="23"/>
        <v>0.685640233232236</v>
      </c>
      <c r="AZ47" s="36">
        <f t="shared" si="1"/>
        <v>1.9850423188508663</v>
      </c>
      <c r="BA47" s="23">
        <f t="shared" si="2"/>
        <v>0.66499637419379565</v>
      </c>
    </row>
    <row r="48" spans="1:53" x14ac:dyDescent="0.2">
      <c r="A48" s="64">
        <v>70</v>
      </c>
      <c r="B48" s="65">
        <v>1</v>
      </c>
      <c r="D48" s="38"/>
      <c r="E48" s="38"/>
      <c r="F48" s="38"/>
      <c r="G48" s="38"/>
      <c r="H48" s="8">
        <f t="shared" si="24"/>
        <v>0.685640233232236</v>
      </c>
      <c r="I48" s="8">
        <f t="shared" si="4"/>
        <v>1.9850423188508663</v>
      </c>
      <c r="J48" s="8">
        <f t="shared" si="5"/>
        <v>0.66499637419379565</v>
      </c>
      <c r="K48" s="8">
        <f t="shared" si="25"/>
        <v>0.66499637419379565</v>
      </c>
      <c r="L48" s="10">
        <f t="shared" si="10"/>
        <v>-0.4079736906813039</v>
      </c>
      <c r="M48" s="44">
        <f t="shared" si="11"/>
        <v>48</v>
      </c>
      <c r="N48" s="1" t="str">
        <f t="shared" si="26"/>
        <v/>
      </c>
      <c r="O48" s="1">
        <f t="shared" si="27"/>
        <v>70</v>
      </c>
      <c r="P48" s="73"/>
      <c r="Q48" s="39">
        <f t="shared" si="20"/>
        <v>114</v>
      </c>
      <c r="R48" s="13">
        <f t="shared" si="13"/>
        <v>-1.7831365182613714</v>
      </c>
      <c r="S48" s="8">
        <f t="shared" si="29"/>
        <v>0.16811003928324306</v>
      </c>
      <c r="T48" s="23">
        <f t="shared" si="30"/>
        <v>0.14391626955487519</v>
      </c>
      <c r="U48" s="8">
        <f t="shared" si="16"/>
        <v>9.9058165847965785E-2</v>
      </c>
      <c r="V48" s="8">
        <f t="shared" si="17"/>
        <v>-5.7710280373831715</v>
      </c>
      <c r="W48" s="8">
        <f t="shared" si="18"/>
        <v>2.8089283968692587E-9</v>
      </c>
      <c r="X48" s="8">
        <f t="shared" si="19"/>
        <v>1</v>
      </c>
      <c r="AD48" s="8"/>
      <c r="AR48" s="1"/>
      <c r="AS48" s="64">
        <v>72</v>
      </c>
      <c r="AT48" s="65">
        <v>1</v>
      </c>
      <c r="AU48" s="27">
        <f>SUM(AT$2:AT48)/COUNTA(AS$2:AS48)</f>
        <v>0.74468085106382975</v>
      </c>
      <c r="AV48" s="27">
        <f t="shared" si="9"/>
        <v>1.2019410227696903</v>
      </c>
      <c r="AW48" s="4"/>
      <c r="AY48" s="13">
        <f t="shared" si="23"/>
        <v>0.57342310816434505</v>
      </c>
      <c r="AZ48" s="36">
        <f t="shared" si="1"/>
        <v>1.7743303926299316</v>
      </c>
      <c r="BA48" s="23">
        <f t="shared" si="2"/>
        <v>0.63955266371427089</v>
      </c>
    </row>
    <row r="49" spans="1:53" x14ac:dyDescent="0.2">
      <c r="A49" s="64">
        <v>72</v>
      </c>
      <c r="B49" s="65">
        <v>1</v>
      </c>
      <c r="E49" s="11" t="s">
        <v>89</v>
      </c>
      <c r="F49"/>
      <c r="H49" s="8">
        <f t="shared" si="24"/>
        <v>0.57342310816434505</v>
      </c>
      <c r="I49" s="8">
        <f t="shared" si="4"/>
        <v>1.7743303926299316</v>
      </c>
      <c r="J49" s="8">
        <f t="shared" si="5"/>
        <v>0.63955266371427089</v>
      </c>
      <c r="K49" s="8">
        <f t="shared" si="25"/>
        <v>0.63955266371427089</v>
      </c>
      <c r="L49" s="10">
        <f t="shared" si="10"/>
        <v>-0.44698630996335714</v>
      </c>
      <c r="M49" s="44">
        <f t="shared" si="11"/>
        <v>49</v>
      </c>
      <c r="N49" s="1" t="str">
        <f t="shared" si="26"/>
        <v/>
      </c>
      <c r="O49" s="1">
        <f t="shared" si="27"/>
        <v>72</v>
      </c>
      <c r="P49" s="73"/>
      <c r="Q49" s="39">
        <f t="shared" si="20"/>
        <v>116</v>
      </c>
      <c r="R49" s="13">
        <f t="shared" si="13"/>
        <v>-1.8953536433292628</v>
      </c>
      <c r="S49" s="8">
        <f t="shared" si="29"/>
        <v>0.15026518536851372</v>
      </c>
      <c r="T49" s="23">
        <f t="shared" si="30"/>
        <v>0.13063525461771916</v>
      </c>
      <c r="U49" s="8">
        <f t="shared" si="16"/>
        <v>7.3748097802518009E-2</v>
      </c>
      <c r="V49" s="8">
        <f t="shared" si="17"/>
        <v>-6.081775700934573</v>
      </c>
      <c r="W49" s="8">
        <f t="shared" si="18"/>
        <v>8.1043219866245065E-10</v>
      </c>
      <c r="X49" s="8">
        <f t="shared" si="19"/>
        <v>1</v>
      </c>
      <c r="AD49" s="8"/>
      <c r="AR49" s="1"/>
      <c r="AS49" s="64">
        <v>72</v>
      </c>
      <c r="AT49" s="65">
        <v>1</v>
      </c>
      <c r="AU49" s="27">
        <f>SUM(AT$2:AT49)/COUNTA(AS$2:AS49)</f>
        <v>0.75</v>
      </c>
      <c r="AV49" s="27">
        <f t="shared" si="9"/>
        <v>1.2105263157894737</v>
      </c>
      <c r="AW49" s="4"/>
      <c r="AY49" s="13">
        <f t="shared" si="23"/>
        <v>0.57342310816434505</v>
      </c>
      <c r="AZ49" s="36">
        <f t="shared" si="1"/>
        <v>1.7743303926299316</v>
      </c>
      <c r="BA49" s="23">
        <f t="shared" si="2"/>
        <v>0.63955266371427089</v>
      </c>
    </row>
    <row r="50" spans="1:53" x14ac:dyDescent="0.2">
      <c r="A50" s="64">
        <v>72</v>
      </c>
      <c r="B50" s="65">
        <v>1</v>
      </c>
      <c r="D50" s="5" t="s">
        <v>27</v>
      </c>
      <c r="E50" s="4">
        <f>AVERAGE(B:B)</f>
        <v>0.61956521739130432</v>
      </c>
      <c r="F50" t="str">
        <f ca="1">_xlfn.FORMULATEXT(E50)</f>
        <v>=AVERAGE(B:B)</v>
      </c>
      <c r="G50"/>
      <c r="H50" s="8">
        <f t="shared" si="24"/>
        <v>0.57342310816434505</v>
      </c>
      <c r="I50" s="8">
        <f t="shared" si="4"/>
        <v>1.7743303926299316</v>
      </c>
      <c r="J50" s="8">
        <f t="shared" si="5"/>
        <v>0.63955266371427089</v>
      </c>
      <c r="K50" s="8">
        <f t="shared" si="25"/>
        <v>0.63955266371427089</v>
      </c>
      <c r="L50" s="10">
        <f t="shared" si="10"/>
        <v>-0.44698630996335714</v>
      </c>
      <c r="M50" s="44">
        <f t="shared" si="11"/>
        <v>50</v>
      </c>
      <c r="N50" s="1" t="str">
        <f t="shared" si="26"/>
        <v/>
      </c>
      <c r="O50" s="1">
        <f t="shared" si="27"/>
        <v>72</v>
      </c>
      <c r="P50" s="73"/>
      <c r="Q50" s="39">
        <f t="shared" si="20"/>
        <v>118</v>
      </c>
      <c r="R50" s="13">
        <f t="shared" si="13"/>
        <v>-2.0075707683971542</v>
      </c>
      <c r="S50" s="8">
        <f t="shared" si="29"/>
        <v>0.13431455985677407</v>
      </c>
      <c r="T50" s="23">
        <f t="shared" si="30"/>
        <v>0.11841032867790527</v>
      </c>
      <c r="U50" s="8">
        <f t="shared" si="16"/>
        <v>4.8438029757070233E-2</v>
      </c>
      <c r="V50" s="8">
        <f t="shared" si="17"/>
        <v>-6.3925233644859745</v>
      </c>
      <c r="W50" s="8">
        <f t="shared" si="18"/>
        <v>2.3382594886612445E-10</v>
      </c>
      <c r="X50" s="8">
        <f t="shared" si="19"/>
        <v>1</v>
      </c>
      <c r="AD50" s="8"/>
      <c r="AR50" s="1"/>
      <c r="AS50" s="64">
        <v>72</v>
      </c>
      <c r="AT50" s="65">
        <v>1</v>
      </c>
      <c r="AU50" s="27">
        <f>SUM(AT$2:AT50)/COUNTA(AS$2:AS50)</f>
        <v>0.75510204081632648</v>
      </c>
      <c r="AV50" s="27">
        <f t="shared" si="9"/>
        <v>1.2187611886860006</v>
      </c>
      <c r="AW50" s="4"/>
      <c r="AY50" s="13">
        <f t="shared" si="23"/>
        <v>0.57342310816434505</v>
      </c>
      <c r="AZ50" s="36">
        <f t="shared" si="1"/>
        <v>1.7743303926299316</v>
      </c>
      <c r="BA50" s="23">
        <f t="shared" si="2"/>
        <v>0.63955266371427089</v>
      </c>
    </row>
    <row r="51" spans="1:53" x14ac:dyDescent="0.2">
      <c r="A51" s="64">
        <v>72</v>
      </c>
      <c r="B51" s="65">
        <v>1</v>
      </c>
      <c r="D51" s="5" t="s">
        <v>28</v>
      </c>
      <c r="E51" s="4">
        <f>STDEV(B:B)</f>
        <v>0.48815398634167767</v>
      </c>
      <c r="F51" t="str">
        <f ca="1">_xlfn.FORMULATEXT(E51)</f>
        <v>=STDEV(B:B)</v>
      </c>
      <c r="H51" s="8">
        <f t="shared" si="24"/>
        <v>0.57342310816434505</v>
      </c>
      <c r="I51" s="8">
        <f t="shared" si="4"/>
        <v>1.7743303926299316</v>
      </c>
      <c r="J51" s="8">
        <f t="shared" si="5"/>
        <v>0.63955266371427089</v>
      </c>
      <c r="K51" s="8">
        <f t="shared" si="25"/>
        <v>0.63955266371427089</v>
      </c>
      <c r="L51" s="10">
        <f t="shared" si="10"/>
        <v>-0.44698630996335714</v>
      </c>
      <c r="M51" s="44">
        <f t="shared" si="11"/>
        <v>51</v>
      </c>
      <c r="N51" s="1" t="str">
        <f t="shared" si="26"/>
        <v/>
      </c>
      <c r="O51" s="1">
        <f t="shared" si="27"/>
        <v>72</v>
      </c>
      <c r="P51" s="73"/>
      <c r="Q51" s="39">
        <f t="shared" si="20"/>
        <v>120</v>
      </c>
      <c r="R51" s="13">
        <f t="shared" si="13"/>
        <v>-2.1197878934650456</v>
      </c>
      <c r="S51" s="8">
        <f t="shared" si="29"/>
        <v>0.12005709070451855</v>
      </c>
      <c r="T51" s="23">
        <f t="shared" si="30"/>
        <v>0.10718836718314273</v>
      </c>
      <c r="U51" s="8">
        <f t="shared" si="16"/>
        <v>2.3127961711622569E-2</v>
      </c>
      <c r="V51" s="8">
        <f t="shared" si="17"/>
        <v>-6.703271028037376</v>
      </c>
      <c r="W51" s="8">
        <f t="shared" si="18"/>
        <v>6.746347742716698E-11</v>
      </c>
      <c r="X51" s="8">
        <f t="shared" si="19"/>
        <v>1</v>
      </c>
      <c r="AD51" s="8"/>
      <c r="AR51" s="1"/>
      <c r="AS51" s="64">
        <v>72</v>
      </c>
      <c r="AT51" s="65">
        <v>1</v>
      </c>
      <c r="AU51" s="27">
        <f>SUM(AT$2:AT51)/COUNTA(AS$2:AS51)</f>
        <v>0.76</v>
      </c>
      <c r="AV51" s="27">
        <f t="shared" si="9"/>
        <v>1.2266666666666668</v>
      </c>
      <c r="AW51" s="4"/>
      <c r="AY51" s="13">
        <f t="shared" si="23"/>
        <v>0.57342310816434505</v>
      </c>
      <c r="AZ51" s="36">
        <f t="shared" si="1"/>
        <v>1.7743303926299316</v>
      </c>
      <c r="BA51" s="23">
        <f t="shared" si="2"/>
        <v>0.63955266371427089</v>
      </c>
    </row>
    <row r="52" spans="1:53" x14ac:dyDescent="0.2">
      <c r="A52" s="64">
        <v>72</v>
      </c>
      <c r="B52" s="65">
        <v>1</v>
      </c>
      <c r="D52" s="52" t="s">
        <v>75</v>
      </c>
      <c r="E52" s="52" t="s">
        <v>76</v>
      </c>
      <c r="F52" s="52" t="s">
        <v>77</v>
      </c>
      <c r="G52" s="52" t="s">
        <v>78</v>
      </c>
      <c r="H52" s="8">
        <f t="shared" si="24"/>
        <v>0.57342310816434505</v>
      </c>
      <c r="I52" s="8">
        <f t="shared" si="4"/>
        <v>1.7743303926299316</v>
      </c>
      <c r="J52" s="8">
        <f t="shared" si="5"/>
        <v>0.63955266371427089</v>
      </c>
      <c r="K52" s="8">
        <f t="shared" si="25"/>
        <v>0.63955266371427089</v>
      </c>
      <c r="L52" s="10">
        <f t="shared" si="10"/>
        <v>-0.44698630996335714</v>
      </c>
      <c r="M52" s="44">
        <f t="shared" si="11"/>
        <v>52</v>
      </c>
      <c r="N52" s="1" t="str">
        <f t="shared" si="26"/>
        <v/>
      </c>
      <c r="O52" s="1">
        <f t="shared" si="27"/>
        <v>72</v>
      </c>
      <c r="P52" s="73"/>
      <c r="Q52" s="5"/>
      <c r="R52" s="5"/>
      <c r="S52" s="5"/>
      <c r="AD52" s="8"/>
      <c r="AR52" s="1"/>
      <c r="AS52" s="64">
        <v>72</v>
      </c>
      <c r="AT52" s="65">
        <v>0</v>
      </c>
      <c r="AU52" s="27">
        <f>SUM(AT$2:AT52)/COUNTA(AS$2:AS52)</f>
        <v>0.74509803921568629</v>
      </c>
      <c r="AV52" s="27">
        <f t="shared" si="9"/>
        <v>1.2026143790849675</v>
      </c>
      <c r="AW52" s="4"/>
      <c r="AY52" s="13">
        <f t="shared" si="23"/>
        <v>0.57342310816434505</v>
      </c>
      <c r="AZ52" s="36">
        <f t="shared" si="1"/>
        <v>1.7743303926299316</v>
      </c>
      <c r="BA52" s="23">
        <f t="shared" si="2"/>
        <v>0.63955266371427089</v>
      </c>
    </row>
    <row r="53" spans="1:53" x14ac:dyDescent="0.2">
      <c r="A53" s="64">
        <v>72</v>
      </c>
      <c r="B53" s="65">
        <v>0</v>
      </c>
      <c r="D53" s="42" t="s">
        <v>67</v>
      </c>
      <c r="H53" s="8">
        <f t="shared" si="24"/>
        <v>0.57342310816434505</v>
      </c>
      <c r="I53" s="8">
        <f t="shared" si="4"/>
        <v>1.7743303926299316</v>
      </c>
      <c r="J53" s="8">
        <f t="shared" si="5"/>
        <v>0.63955266371427089</v>
      </c>
      <c r="K53" s="8">
        <f t="shared" si="25"/>
        <v>0.36044733628572911</v>
      </c>
      <c r="L53" s="10">
        <f t="shared" si="10"/>
        <v>-1.0204094181277024</v>
      </c>
      <c r="M53" s="44">
        <f t="shared" si="11"/>
        <v>53</v>
      </c>
      <c r="N53" s="1">
        <f t="shared" si="26"/>
        <v>72</v>
      </c>
      <c r="O53" s="1" t="str">
        <f t="shared" si="27"/>
        <v/>
      </c>
      <c r="P53" s="73"/>
      <c r="AD53" s="8"/>
      <c r="AR53" s="1"/>
      <c r="AS53" s="64">
        <v>72</v>
      </c>
      <c r="AT53" s="65">
        <v>0</v>
      </c>
      <c r="AU53" s="27">
        <f>SUM(AT$2:AT53)/COUNTA(AS$2:AS53)</f>
        <v>0.73076923076923073</v>
      </c>
      <c r="AV53" s="27">
        <f t="shared" si="9"/>
        <v>1.1794871794871795</v>
      </c>
      <c r="AW53" s="4"/>
      <c r="AY53" s="13">
        <f t="shared" si="23"/>
        <v>0.57342310816434505</v>
      </c>
      <c r="AZ53" s="36">
        <f t="shared" si="1"/>
        <v>1.7743303926299316</v>
      </c>
      <c r="BA53" s="23">
        <f t="shared" si="2"/>
        <v>0.63955266371427089</v>
      </c>
    </row>
    <row r="54" spans="1:53" x14ac:dyDescent="0.2">
      <c r="A54" s="64">
        <v>72</v>
      </c>
      <c r="B54" s="65">
        <v>0</v>
      </c>
      <c r="D54" s="46">
        <f>STDEV(B3:B94)</f>
        <v>0.48815398634167767</v>
      </c>
      <c r="E54" s="32" t="s">
        <v>79</v>
      </c>
      <c r="F54" s="53" t="str">
        <f ca="1">_xlfn.FORMULATEXT(D54)</f>
        <v>=STDEV(B3:B94)</v>
      </c>
      <c r="H54" s="8">
        <f t="shared" si="24"/>
        <v>0.57342310816434505</v>
      </c>
      <c r="I54" s="8">
        <f t="shared" si="4"/>
        <v>1.7743303926299316</v>
      </c>
      <c r="J54" s="8">
        <f t="shared" si="5"/>
        <v>0.63955266371427089</v>
      </c>
      <c r="K54" s="8">
        <f t="shared" si="25"/>
        <v>0.36044733628572911</v>
      </c>
      <c r="L54" s="10">
        <f t="shared" si="10"/>
        <v>-1.0204094181277024</v>
      </c>
      <c r="M54" s="44">
        <f t="shared" si="11"/>
        <v>54</v>
      </c>
      <c r="N54" s="1">
        <f t="shared" si="26"/>
        <v>72</v>
      </c>
      <c r="O54" s="1" t="str">
        <f t="shared" si="27"/>
        <v/>
      </c>
      <c r="P54" s="73"/>
      <c r="Q54" s="11" t="s">
        <v>81</v>
      </c>
      <c r="R54" s="11" t="str">
        <f>+R10</f>
        <v>Logit</v>
      </c>
      <c r="S54" s="11" t="str">
        <f>+S10</f>
        <v>Odds</v>
      </c>
      <c r="T54" s="11" t="str">
        <f>+T10</f>
        <v>Prob Y=1</v>
      </c>
      <c r="W54" s="6"/>
      <c r="AD54" s="8"/>
      <c r="AR54" s="1"/>
      <c r="AS54" s="64">
        <v>74</v>
      </c>
      <c r="AT54" s="65">
        <v>1</v>
      </c>
      <c r="AU54" s="27">
        <f>SUM(AT$2:AT54)/COUNTA(AS$2:AS54)</f>
        <v>0.73584905660377353</v>
      </c>
      <c r="AV54" s="27">
        <f t="shared" si="9"/>
        <v>1.1876861966236345</v>
      </c>
      <c r="AW54" s="4"/>
      <c r="AY54" s="13">
        <f t="shared" si="23"/>
        <v>0.46120598309645366</v>
      </c>
      <c r="AZ54" s="36">
        <f t="shared" si="1"/>
        <v>1.585985503841951</v>
      </c>
      <c r="BA54" s="23">
        <f t="shared" si="2"/>
        <v>0.61330022982947174</v>
      </c>
    </row>
    <row r="55" spans="1:53" x14ac:dyDescent="0.2">
      <c r="A55" s="64">
        <v>74</v>
      </c>
      <c r="B55" s="65">
        <v>1</v>
      </c>
      <c r="D55" s="34">
        <f>STDEV(A3:A94)</f>
        <v>11.008705238023138</v>
      </c>
      <c r="E55" s="32" t="s">
        <v>80</v>
      </c>
      <c r="F55" s="53" t="str">
        <f ca="1">_xlfn.FORMULATEXT(D55)</f>
        <v>=STDEV(A3:A94)</v>
      </c>
      <c r="H55" s="8">
        <f t="shared" si="24"/>
        <v>0.46120598309645366</v>
      </c>
      <c r="I55" s="8">
        <f t="shared" si="4"/>
        <v>1.585985503841951</v>
      </c>
      <c r="J55" s="8">
        <f t="shared" si="5"/>
        <v>0.61330022982947174</v>
      </c>
      <c r="K55" s="8">
        <f t="shared" si="25"/>
        <v>0.61330022982947174</v>
      </c>
      <c r="L55" s="10">
        <f t="shared" si="10"/>
        <v>-0.48890069160793798</v>
      </c>
      <c r="M55" s="44">
        <f t="shared" si="11"/>
        <v>55</v>
      </c>
      <c r="N55" s="1" t="str">
        <f t="shared" si="26"/>
        <v/>
      </c>
      <c r="O55" s="1">
        <f t="shared" si="27"/>
        <v>74</v>
      </c>
      <c r="P55" s="73"/>
      <c r="Q55" s="10">
        <f>AVERAGE(A:A)</f>
        <v>72.869565217391298</v>
      </c>
      <c r="R55" s="13">
        <f>D$3+E$3*Q55</f>
        <v>0.5246330537870012</v>
      </c>
      <c r="S55" s="8">
        <f>EXP(R55)</f>
        <v>1.6898386547022679</v>
      </c>
      <c r="T55" s="22">
        <f>S55/(1+S55)</f>
        <v>0.62823048949354632</v>
      </c>
      <c r="U55" s="6" t="s">
        <v>55</v>
      </c>
      <c r="V55" s="5" t="s">
        <v>24</v>
      </c>
      <c r="W55" s="6"/>
      <c r="AD55" s="8"/>
      <c r="AR55" s="1"/>
      <c r="AS55" s="64">
        <v>74</v>
      </c>
      <c r="AT55" s="65">
        <v>1</v>
      </c>
      <c r="AU55" s="27">
        <f>SUM(AT$2:AT55)/COUNTA(AS$2:AS55)</f>
        <v>0.7407407407407407</v>
      </c>
      <c r="AV55" s="27">
        <f t="shared" si="9"/>
        <v>1.1955815464587394</v>
      </c>
      <c r="AW55" s="4"/>
      <c r="AY55" s="13">
        <f t="shared" si="23"/>
        <v>0.46120598309645366</v>
      </c>
      <c r="AZ55" s="36">
        <f t="shared" si="1"/>
        <v>1.585985503841951</v>
      </c>
      <c r="BA55" s="23">
        <f t="shared" si="2"/>
        <v>0.61330022982947174</v>
      </c>
    </row>
    <row r="56" spans="1:53" x14ac:dyDescent="0.2">
      <c r="A56" s="64">
        <v>74</v>
      </c>
      <c r="B56" s="65">
        <v>1</v>
      </c>
      <c r="D56" s="61">
        <f>D41*(D54/D55)^2</f>
        <v>-1.2655034022723865E-2</v>
      </c>
      <c r="E56" s="6" t="s">
        <v>54</v>
      </c>
      <c r="F56" s="49" t="str">
        <f ca="1">_xlfn.FORMULATEXT(D56)</f>
        <v>=D41*(D54/D55)^2</v>
      </c>
      <c r="H56" s="8">
        <f t="shared" si="24"/>
        <v>0.46120598309645366</v>
      </c>
      <c r="I56" s="8">
        <f t="shared" si="4"/>
        <v>1.585985503841951</v>
      </c>
      <c r="J56" s="8">
        <f t="shared" si="5"/>
        <v>0.61330022982947174</v>
      </c>
      <c r="K56" s="8">
        <f t="shared" si="25"/>
        <v>0.61330022982947174</v>
      </c>
      <c r="L56" s="10">
        <f t="shared" si="10"/>
        <v>-0.48890069160793798</v>
      </c>
      <c r="M56" s="44">
        <f t="shared" si="11"/>
        <v>56</v>
      </c>
      <c r="N56" s="1" t="str">
        <f t="shared" si="26"/>
        <v/>
      </c>
      <c r="O56" s="1">
        <f t="shared" si="27"/>
        <v>74</v>
      </c>
      <c r="P56" s="73"/>
      <c r="Q56" s="10">
        <f>MEDIAN(A:A)</f>
        <v>71</v>
      </c>
      <c r="R56" s="13">
        <f>D$3+E$3*Q56</f>
        <v>0.6295316706982903</v>
      </c>
      <c r="S56" s="8">
        <f>EXP(R56)</f>
        <v>1.8767314450910888</v>
      </c>
      <c r="T56" s="22">
        <f>S56/(1+S56)</f>
        <v>0.65238326236311706</v>
      </c>
      <c r="U56" s="6" t="s">
        <v>56</v>
      </c>
      <c r="V56" s="5" t="s">
        <v>25</v>
      </c>
      <c r="W56" s="6"/>
      <c r="AD56" s="8"/>
      <c r="AR56" s="1"/>
      <c r="AS56" s="64">
        <v>74</v>
      </c>
      <c r="AT56" s="65">
        <v>1</v>
      </c>
      <c r="AU56" s="27">
        <f>SUM(AT$2:AT56)/COUNTA(AS$2:AS56)</f>
        <v>0.74545454545454548</v>
      </c>
      <c r="AV56" s="27">
        <f t="shared" si="9"/>
        <v>1.2031897926634769</v>
      </c>
      <c r="AW56" s="4"/>
      <c r="AY56" s="13">
        <f t="shared" si="23"/>
        <v>0.46120598309645366</v>
      </c>
      <c r="AZ56" s="36">
        <f t="shared" si="1"/>
        <v>1.585985503841951</v>
      </c>
      <c r="BA56" s="23">
        <f t="shared" si="2"/>
        <v>0.61330022982947174</v>
      </c>
    </row>
    <row r="57" spans="1:53" x14ac:dyDescent="0.2">
      <c r="A57" s="64">
        <v>74</v>
      </c>
      <c r="B57" s="65">
        <v>1</v>
      </c>
      <c r="D57" s="1">
        <f>D30</f>
        <v>-1.2655034022723874E-2</v>
      </c>
      <c r="E57" s="5" t="s">
        <v>68</v>
      </c>
      <c r="F57" s="49" t="str">
        <f ca="1">_xlfn.FORMULATEXT(D57)</f>
        <v>=D30</v>
      </c>
      <c r="H57" s="8">
        <f t="shared" si="24"/>
        <v>0.46120598309645366</v>
      </c>
      <c r="I57" s="8">
        <f t="shared" si="4"/>
        <v>1.585985503841951</v>
      </c>
      <c r="J57" s="8">
        <f t="shared" si="5"/>
        <v>0.61330022982947174</v>
      </c>
      <c r="K57" s="8">
        <f t="shared" si="25"/>
        <v>0.61330022982947174</v>
      </c>
      <c r="L57" s="10">
        <f t="shared" si="10"/>
        <v>-0.48890069160793798</v>
      </c>
      <c r="M57" s="44">
        <f t="shared" si="11"/>
        <v>57</v>
      </c>
      <c r="N57" s="1" t="str">
        <f t="shared" si="26"/>
        <v/>
      </c>
      <c r="O57" s="1">
        <f t="shared" si="27"/>
        <v>74</v>
      </c>
      <c r="P57" s="73"/>
      <c r="Q57" s="10">
        <f>D39</f>
        <v>70.421052631578945</v>
      </c>
      <c r="R57" s="13">
        <f>D$3+E$3*Q57</f>
        <v>0.66201557532320621</v>
      </c>
      <c r="S57" s="8">
        <f>EXP(R57)</f>
        <v>1.9386959868179576</v>
      </c>
      <c r="T57" s="22">
        <f>S57/(1+S57)</f>
        <v>0.65971301404239246</v>
      </c>
      <c r="U57" s="6" t="s">
        <v>95</v>
      </c>
      <c r="V57" s="5" t="s">
        <v>97</v>
      </c>
      <c r="W57" s="6"/>
      <c r="AD57" s="8"/>
      <c r="AR57" s="1"/>
      <c r="AS57" s="64">
        <v>74</v>
      </c>
      <c r="AT57" s="65">
        <v>1</v>
      </c>
      <c r="AU57" s="27">
        <f>SUM(AT$2:AT57)/COUNTA(AS$2:AS57)</f>
        <v>0.75</v>
      </c>
      <c r="AV57" s="27">
        <f t="shared" si="9"/>
        <v>1.2105263157894737</v>
      </c>
      <c r="AW57" s="4"/>
      <c r="AY57" s="13">
        <f t="shared" si="23"/>
        <v>0.46120598309645366</v>
      </c>
      <c r="AZ57" s="36">
        <f t="shared" si="1"/>
        <v>1.585985503841951</v>
      </c>
      <c r="BA57" s="23">
        <f t="shared" si="2"/>
        <v>0.61330022982947174</v>
      </c>
    </row>
    <row r="58" spans="1:53" x14ac:dyDescent="0.2">
      <c r="A58" s="64">
        <v>74</v>
      </c>
      <c r="B58" s="65">
        <v>1</v>
      </c>
      <c r="D58" s="1" t="str">
        <f>IF(D57=D56,"OK", "no")</f>
        <v>OK</v>
      </c>
      <c r="E58" s="5" t="s">
        <v>69</v>
      </c>
      <c r="H58" s="8">
        <f t="shared" si="24"/>
        <v>0.46120598309645366</v>
      </c>
      <c r="I58" s="8">
        <f t="shared" si="4"/>
        <v>1.585985503841951</v>
      </c>
      <c r="J58" s="8">
        <f t="shared" si="5"/>
        <v>0.61330022982947174</v>
      </c>
      <c r="K58" s="8">
        <f t="shared" si="25"/>
        <v>0.61330022982947174</v>
      </c>
      <c r="L58" s="10">
        <f t="shared" si="10"/>
        <v>-0.48890069160793798</v>
      </c>
      <c r="M58" s="44">
        <f t="shared" si="11"/>
        <v>58</v>
      </c>
      <c r="N58" s="1" t="str">
        <f t="shared" si="26"/>
        <v/>
      </c>
      <c r="O58" s="1">
        <f t="shared" si="27"/>
        <v>74</v>
      </c>
      <c r="P58" s="70"/>
      <c r="Q58" s="10">
        <f>D40</f>
        <v>76.857142857142861</v>
      </c>
      <c r="R58" s="13">
        <f>D$3+E$3*Q58</f>
        <v>0.30089580442803676</v>
      </c>
      <c r="S58" s="8">
        <f>EXP(R58)</f>
        <v>1.351068558842426</v>
      </c>
      <c r="T58" s="22">
        <f>S58/(1+S58)</f>
        <v>0.57466148903273118</v>
      </c>
      <c r="U58" s="6" t="s">
        <v>96</v>
      </c>
      <c r="V58" s="5" t="s">
        <v>98</v>
      </c>
      <c r="AD58" s="8"/>
      <c r="AR58" s="1"/>
      <c r="AS58" s="64">
        <v>74</v>
      </c>
      <c r="AT58" s="65">
        <v>1</v>
      </c>
      <c r="AU58" s="27">
        <f>SUM(AT$2:AT58)/COUNTA(AS$2:AS58)</f>
        <v>0.75438596491228072</v>
      </c>
      <c r="AV58" s="27">
        <f t="shared" si="9"/>
        <v>1.2176054170514006</v>
      </c>
      <c r="AW58" s="4"/>
      <c r="AY58" s="13">
        <f t="shared" si="23"/>
        <v>0.46120598309645366</v>
      </c>
      <c r="AZ58" s="36">
        <f t="shared" si="1"/>
        <v>1.585985503841951</v>
      </c>
      <c r="BA58" s="23">
        <f t="shared" si="2"/>
        <v>0.61330022982947174</v>
      </c>
    </row>
    <row r="59" spans="1:53" x14ac:dyDescent="0.2">
      <c r="A59" s="64">
        <v>74</v>
      </c>
      <c r="B59" s="65">
        <v>1</v>
      </c>
      <c r="D59" s="38"/>
      <c r="E59" s="38"/>
      <c r="F59" s="38"/>
      <c r="G59" s="38"/>
      <c r="H59" s="8">
        <f t="shared" si="24"/>
        <v>0.46120598309645366</v>
      </c>
      <c r="I59" s="8">
        <f t="shared" si="4"/>
        <v>1.585985503841951</v>
      </c>
      <c r="J59" s="8">
        <f t="shared" si="5"/>
        <v>0.61330022982947174</v>
      </c>
      <c r="K59" s="8">
        <f t="shared" si="25"/>
        <v>0.61330022982947174</v>
      </c>
      <c r="L59" s="10">
        <f t="shared" si="10"/>
        <v>-0.48890069160793798</v>
      </c>
      <c r="M59" s="44">
        <f t="shared" si="11"/>
        <v>59</v>
      </c>
      <c r="N59" s="1" t="str">
        <f t="shared" si="26"/>
        <v/>
      </c>
      <c r="O59" s="1">
        <f t="shared" si="27"/>
        <v>74</v>
      </c>
      <c r="P59" s="5"/>
      <c r="AD59" s="8"/>
      <c r="AR59" s="1"/>
      <c r="AS59" s="64">
        <v>76</v>
      </c>
      <c r="AT59" s="65">
        <v>1</v>
      </c>
      <c r="AU59" s="27">
        <f>SUM(AT$2:AT59)/COUNTA(AS$2:AS59)</f>
        <v>0.75862068965517238</v>
      </c>
      <c r="AV59" s="27">
        <f t="shared" si="9"/>
        <v>1.2244404113732608</v>
      </c>
      <c r="AW59" s="27"/>
      <c r="AY59" s="13">
        <f t="shared" si="23"/>
        <v>0.34898885802856228</v>
      </c>
      <c r="AZ59" s="36">
        <f t="shared" si="1"/>
        <v>1.4176333950231943</v>
      </c>
      <c r="BA59" s="23">
        <f t="shared" si="2"/>
        <v>0.58637235816706357</v>
      </c>
    </row>
    <row r="60" spans="1:53" x14ac:dyDescent="0.2">
      <c r="A60" s="64">
        <v>76</v>
      </c>
      <c r="B60" s="65">
        <v>1</v>
      </c>
      <c r="E60" s="11" t="s">
        <v>88</v>
      </c>
      <c r="H60" s="8">
        <f t="shared" si="24"/>
        <v>0.34898885802856228</v>
      </c>
      <c r="I60" s="8">
        <f t="shared" si="4"/>
        <v>1.4176333950231943</v>
      </c>
      <c r="J60" s="8">
        <f t="shared" si="5"/>
        <v>0.58637235816706357</v>
      </c>
      <c r="K60" s="8">
        <f t="shared" si="25"/>
        <v>0.58637235816706357</v>
      </c>
      <c r="L60" s="10">
        <f t="shared" si="10"/>
        <v>-0.53380026770787037</v>
      </c>
      <c r="M60" s="44">
        <f t="shared" si="11"/>
        <v>60</v>
      </c>
      <c r="N60" s="1" t="str">
        <f t="shared" si="26"/>
        <v/>
      </c>
      <c r="O60" s="1">
        <f t="shared" si="27"/>
        <v>76</v>
      </c>
      <c r="P60" s="5"/>
      <c r="Q60" s="5"/>
      <c r="R60" s="5"/>
      <c r="S60" s="5"/>
      <c r="AD60" s="8"/>
      <c r="AR60" s="1"/>
      <c r="AS60" s="64">
        <v>76</v>
      </c>
      <c r="AT60" s="65">
        <v>1</v>
      </c>
      <c r="AU60" s="27">
        <f>SUM(AT$2:AT60)/COUNTA(AS$2:AS60)</f>
        <v>0.76271186440677963</v>
      </c>
      <c r="AV60" s="27">
        <f t="shared" si="9"/>
        <v>1.2310437109723462</v>
      </c>
      <c r="AW60" s="27"/>
      <c r="AY60" s="13">
        <f t="shared" si="23"/>
        <v>0.34898885802856228</v>
      </c>
      <c r="AZ60" s="36">
        <f t="shared" si="1"/>
        <v>1.4176333950231943</v>
      </c>
      <c r="BA60" s="23">
        <f t="shared" si="2"/>
        <v>0.58637235816706357</v>
      </c>
    </row>
    <row r="61" spans="1:53" x14ac:dyDescent="0.2">
      <c r="A61" s="64">
        <v>76</v>
      </c>
      <c r="B61" s="65">
        <v>1</v>
      </c>
      <c r="D61" s="14" t="s">
        <v>48</v>
      </c>
      <c r="E61" s="4">
        <f>AVERAGE(A:A)</f>
        <v>72.869565217391298</v>
      </c>
      <c r="F61" t="str">
        <f ca="1">_xlfn.FORMULATEXT(E61)</f>
        <v>=AVERAGE(A:A)</v>
      </c>
      <c r="G61"/>
      <c r="H61" s="8">
        <f t="shared" si="24"/>
        <v>0.34898885802856228</v>
      </c>
      <c r="I61" s="8">
        <f t="shared" si="4"/>
        <v>1.4176333950231943</v>
      </c>
      <c r="J61" s="8">
        <f t="shared" si="5"/>
        <v>0.58637235816706357</v>
      </c>
      <c r="K61" s="8">
        <f t="shared" si="25"/>
        <v>0.58637235816706357</v>
      </c>
      <c r="L61" s="10">
        <f t="shared" si="10"/>
        <v>-0.53380026770787037</v>
      </c>
      <c r="M61" s="44">
        <f t="shared" si="11"/>
        <v>61</v>
      </c>
      <c r="N61" s="1" t="str">
        <f t="shared" si="26"/>
        <v/>
      </c>
      <c r="O61" s="1">
        <f t="shared" si="27"/>
        <v>76</v>
      </c>
      <c r="P61" s="5"/>
      <c r="Q61" s="5"/>
      <c r="R61" s="5"/>
      <c r="S61" s="5"/>
      <c r="AD61" s="8"/>
      <c r="AR61" s="1"/>
      <c r="AS61" s="64">
        <v>76</v>
      </c>
      <c r="AT61" s="65">
        <v>1</v>
      </c>
      <c r="AU61" s="27">
        <f>SUM(AT$2:AT61)/COUNTA(AS$2:AS61)</f>
        <v>0.76666666666666672</v>
      </c>
      <c r="AV61" s="27">
        <f t="shared" si="9"/>
        <v>1.2374269005847955</v>
      </c>
      <c r="AW61" s="27"/>
      <c r="AY61" s="13">
        <f t="shared" si="23"/>
        <v>0.34898885802856228</v>
      </c>
      <c r="AZ61" s="36">
        <f t="shared" si="1"/>
        <v>1.4176333950231943</v>
      </c>
      <c r="BA61" s="23">
        <f t="shared" si="2"/>
        <v>0.58637235816706357</v>
      </c>
    </row>
    <row r="62" spans="1:53" x14ac:dyDescent="0.2">
      <c r="A62" s="64">
        <v>76</v>
      </c>
      <c r="B62" s="65">
        <v>1</v>
      </c>
      <c r="D62" s="14" t="s">
        <v>49</v>
      </c>
      <c r="E62" s="4">
        <f>STDEV(A:A)</f>
        <v>11.008705238023138</v>
      </c>
      <c r="F62" t="str">
        <f ca="1">_xlfn.FORMULATEXT(E62)</f>
        <v>=STDEV(A:A)</v>
      </c>
      <c r="H62" s="8">
        <f t="shared" si="24"/>
        <v>0.34898885802856228</v>
      </c>
      <c r="I62" s="8">
        <f t="shared" si="4"/>
        <v>1.4176333950231943</v>
      </c>
      <c r="J62" s="8">
        <f t="shared" si="5"/>
        <v>0.58637235816706357</v>
      </c>
      <c r="K62" s="8">
        <f t="shared" si="25"/>
        <v>0.58637235816706357</v>
      </c>
      <c r="L62" s="10">
        <f t="shared" si="10"/>
        <v>-0.53380026770787037</v>
      </c>
      <c r="M62" s="44">
        <f t="shared" si="11"/>
        <v>62</v>
      </c>
      <c r="N62" s="1" t="str">
        <f t="shared" si="26"/>
        <v/>
      </c>
      <c r="O62" s="1">
        <f t="shared" si="27"/>
        <v>76</v>
      </c>
      <c r="P62" s="5"/>
      <c r="Q62" s="5"/>
      <c r="R62" s="5"/>
      <c r="S62" s="5"/>
      <c r="AD62" s="8"/>
      <c r="AR62" s="1"/>
      <c r="AS62" s="64">
        <v>76</v>
      </c>
      <c r="AT62" s="65">
        <v>0</v>
      </c>
      <c r="AU62" s="27">
        <f>SUM(AT$2:AT62)/COUNTA(AS$2:AS62)</f>
        <v>0.75409836065573765</v>
      </c>
      <c r="AV62" s="27">
        <f t="shared" si="9"/>
        <v>1.2171412136899626</v>
      </c>
      <c r="AW62" s="27"/>
      <c r="AY62" s="13">
        <f t="shared" si="23"/>
        <v>0.34898885802856228</v>
      </c>
      <c r="AZ62" s="36">
        <f t="shared" si="1"/>
        <v>1.4176333950231943</v>
      </c>
      <c r="BA62" s="23">
        <f t="shared" si="2"/>
        <v>0.58637235816706357</v>
      </c>
    </row>
    <row r="63" spans="1:53" x14ac:dyDescent="0.2">
      <c r="A63" s="64">
        <v>76</v>
      </c>
      <c r="B63" s="65">
        <v>0</v>
      </c>
      <c r="D63" s="14" t="s">
        <v>50</v>
      </c>
      <c r="E63" s="29">
        <f>KURT(A3:A94)</f>
        <v>-0.44244333689387627</v>
      </c>
      <c r="F63" t="str">
        <f ca="1">_xlfn.FORMULATEXT(E63)</f>
        <v>=KURT(A3:A94)</v>
      </c>
      <c r="G63" s="6"/>
      <c r="H63" s="8">
        <f t="shared" si="24"/>
        <v>0.34898885802856228</v>
      </c>
      <c r="I63" s="8">
        <f t="shared" si="4"/>
        <v>1.4176333950231943</v>
      </c>
      <c r="J63" s="8">
        <f t="shared" si="5"/>
        <v>0.58637235816706357</v>
      </c>
      <c r="K63" s="8">
        <f t="shared" si="25"/>
        <v>0.41362764183293643</v>
      </c>
      <c r="L63" s="10">
        <f t="shared" si="10"/>
        <v>-0.88278912573643276</v>
      </c>
      <c r="M63" s="44">
        <f t="shared" si="11"/>
        <v>63</v>
      </c>
      <c r="N63" s="1">
        <f t="shared" si="26"/>
        <v>76</v>
      </c>
      <c r="O63" s="1" t="str">
        <f t="shared" si="27"/>
        <v/>
      </c>
      <c r="P63" s="5"/>
      <c r="Q63" s="5"/>
      <c r="R63" s="5"/>
      <c r="S63" s="5"/>
      <c r="AD63" s="8"/>
      <c r="AR63" s="1"/>
      <c r="AS63" s="64">
        <v>76</v>
      </c>
      <c r="AT63" s="65">
        <v>0</v>
      </c>
      <c r="AU63" s="27">
        <f>SUM(AT$2:AT63)/COUNTA(AS$2:AS63)</f>
        <v>0.74193548387096775</v>
      </c>
      <c r="AV63" s="27">
        <f t="shared" si="9"/>
        <v>1.1975099037917374</v>
      </c>
      <c r="AW63" s="27"/>
      <c r="AY63" s="13">
        <f t="shared" si="23"/>
        <v>0.34898885802856228</v>
      </c>
      <c r="AZ63" s="36">
        <f t="shared" si="1"/>
        <v>1.4176333950231943</v>
      </c>
      <c r="BA63" s="23">
        <f t="shared" si="2"/>
        <v>0.58637235816706357</v>
      </c>
    </row>
    <row r="64" spans="1:53" x14ac:dyDescent="0.2">
      <c r="A64" s="64">
        <v>76</v>
      </c>
      <c r="B64" s="65">
        <v>0</v>
      </c>
      <c r="D64" s="14" t="s">
        <v>51</v>
      </c>
      <c r="E64" s="19">
        <f>MAX(A$3:A$94)</f>
        <v>100</v>
      </c>
      <c r="F64" s="6" t="str">
        <f ca="1">_xlfn.FORMULATEXT(E64)</f>
        <v>=MAX(A$3:A$94)</v>
      </c>
      <c r="G64" s="6"/>
      <c r="H64" s="8">
        <f t="shared" si="24"/>
        <v>0.34898885802856228</v>
      </c>
      <c r="I64" s="8">
        <f t="shared" si="4"/>
        <v>1.4176333950231943</v>
      </c>
      <c r="J64" s="8">
        <f t="shared" si="5"/>
        <v>0.58637235816706357</v>
      </c>
      <c r="K64" s="8">
        <f t="shared" si="25"/>
        <v>0.41362764183293643</v>
      </c>
      <c r="L64" s="10">
        <f t="shared" si="10"/>
        <v>-0.88278912573643276</v>
      </c>
      <c r="M64" s="44">
        <f t="shared" si="11"/>
        <v>64</v>
      </c>
      <c r="N64" s="1">
        <f t="shared" si="26"/>
        <v>76</v>
      </c>
      <c r="O64" s="1" t="str">
        <f t="shared" si="27"/>
        <v/>
      </c>
      <c r="P64" s="5"/>
      <c r="AD64" s="8"/>
      <c r="AR64" s="1"/>
      <c r="AS64" s="64">
        <v>78</v>
      </c>
      <c r="AT64" s="65">
        <v>0</v>
      </c>
      <c r="AU64" s="27">
        <f>SUM(AT$2:AT64)/COUNTA(AS$2:AS64)</f>
        <v>0.73015873015873012</v>
      </c>
      <c r="AV64" s="27">
        <f t="shared" si="9"/>
        <v>1.1785018100807574</v>
      </c>
      <c r="AW64" s="27"/>
      <c r="AY64" s="13">
        <f t="shared" si="23"/>
        <v>0.23677173296067089</v>
      </c>
      <c r="AZ64" s="36">
        <f t="shared" si="1"/>
        <v>1.2671518357618357</v>
      </c>
      <c r="BA64" s="23">
        <f t="shared" si="2"/>
        <v>0.55891794090448821</v>
      </c>
    </row>
    <row r="65" spans="1:53" x14ac:dyDescent="0.2">
      <c r="A65" s="64">
        <v>78</v>
      </c>
      <c r="B65" s="65">
        <v>0</v>
      </c>
      <c r="D65" s="14" t="s">
        <v>52</v>
      </c>
      <c r="E65" s="19">
        <f>MIN(A$3:A$94)</f>
        <v>48</v>
      </c>
      <c r="F65" s="6" t="str">
        <f ca="1">_xlfn.FORMULATEXT(E65)</f>
        <v>=MIN(A$3:A$94)</v>
      </c>
      <c r="G65"/>
      <c r="H65" s="8">
        <f t="shared" si="24"/>
        <v>0.23677173296067089</v>
      </c>
      <c r="I65" s="8">
        <f t="shared" si="4"/>
        <v>1.2671518357618357</v>
      </c>
      <c r="J65" s="8">
        <f t="shared" si="5"/>
        <v>0.55891794090448821</v>
      </c>
      <c r="K65" s="8">
        <f t="shared" si="25"/>
        <v>0.44108205909551179</v>
      </c>
      <c r="L65" s="10">
        <f t="shared" si="10"/>
        <v>-0.81852434579859323</v>
      </c>
      <c r="M65" s="44">
        <f t="shared" si="11"/>
        <v>65</v>
      </c>
      <c r="N65" s="1">
        <f t="shared" si="26"/>
        <v>78</v>
      </c>
      <c r="O65" s="1" t="str">
        <f t="shared" si="27"/>
        <v/>
      </c>
      <c r="P65" s="5"/>
      <c r="AD65" s="8"/>
      <c r="AR65" s="1"/>
      <c r="AS65" s="64">
        <v>78</v>
      </c>
      <c r="AT65" s="65">
        <v>0</v>
      </c>
      <c r="AU65" s="27">
        <f>SUM(AT$2:AT65)/COUNTA(AS$2:AS65)</f>
        <v>0.71875</v>
      </c>
      <c r="AV65" s="27">
        <f t="shared" si="9"/>
        <v>1.1600877192982457</v>
      </c>
      <c r="AW65" s="27"/>
      <c r="AY65" s="13">
        <f t="shared" si="23"/>
        <v>0.23677173296067089</v>
      </c>
      <c r="AZ65" s="36">
        <f t="shared" si="1"/>
        <v>1.2671518357618357</v>
      </c>
      <c r="BA65" s="23">
        <f t="shared" si="2"/>
        <v>0.55891794090448821</v>
      </c>
    </row>
    <row r="66" spans="1:53" x14ac:dyDescent="0.2">
      <c r="A66" s="64">
        <v>78</v>
      </c>
      <c r="B66" s="65">
        <v>0</v>
      </c>
      <c r="H66" s="8">
        <f t="shared" si="24"/>
        <v>0.23677173296067089</v>
      </c>
      <c r="I66" s="8">
        <f t="shared" si="4"/>
        <v>1.2671518357618357</v>
      </c>
      <c r="J66" s="8">
        <f t="shared" si="5"/>
        <v>0.55891794090448821</v>
      </c>
      <c r="K66" s="8">
        <f t="shared" si="25"/>
        <v>0.44108205909551179</v>
      </c>
      <c r="L66" s="10">
        <f t="shared" si="10"/>
        <v>-0.81852434579859323</v>
      </c>
      <c r="M66" s="44">
        <f t="shared" si="11"/>
        <v>66</v>
      </c>
      <c r="N66" s="1">
        <f t="shared" si="26"/>
        <v>78</v>
      </c>
      <c r="O66" s="1" t="str">
        <f t="shared" si="27"/>
        <v/>
      </c>
      <c r="P66" s="5"/>
      <c r="AD66" s="8"/>
      <c r="AR66" s="1"/>
      <c r="AS66" s="64">
        <v>78</v>
      </c>
      <c r="AT66" s="65">
        <v>1</v>
      </c>
      <c r="AU66" s="27">
        <f>SUM(AT$2:AT66)/COUNTA(AS$2:AS66)</f>
        <v>0.72307692307692306</v>
      </c>
      <c r="AV66" s="27">
        <f t="shared" si="9"/>
        <v>1.1670715249662618</v>
      </c>
      <c r="AW66" s="27"/>
      <c r="AY66" s="13">
        <f t="shared" ref="AY66:AY93" si="31">D$3+E$3*AS66</f>
        <v>0.23677173296067089</v>
      </c>
      <c r="AZ66" s="36">
        <f t="shared" ref="AZ66:AZ93" si="32">EXP(AY66)</f>
        <v>1.2671518357618357</v>
      </c>
      <c r="BA66" s="23">
        <f t="shared" ref="BA66:BA93" si="33">AZ66/(1+AZ66)</f>
        <v>0.55891794090448821</v>
      </c>
    </row>
    <row r="67" spans="1:53" ht="13.5" thickBot="1" x14ac:dyDescent="0.25">
      <c r="A67" s="64">
        <v>78</v>
      </c>
      <c r="B67" s="65">
        <v>1</v>
      </c>
      <c r="D67" s="50" t="s">
        <v>59</v>
      </c>
      <c r="E67"/>
      <c r="H67" s="8">
        <f t="shared" ref="H67:H94" si="34">D$3+E$3*A67</f>
        <v>0.23677173296067089</v>
      </c>
      <c r="I67" s="8">
        <f t="shared" ref="I67:I94" si="35">EXP(H67)</f>
        <v>1.2671518357618357</v>
      </c>
      <c r="J67" s="8">
        <f t="shared" ref="J67:J94" si="36">I67/(1+I67)</f>
        <v>0.55891794090448821</v>
      </c>
      <c r="K67" s="8">
        <f t="shared" ref="K67:K94" si="37">IF(B67=1,J67,1-J67)</f>
        <v>0.55891794090448821</v>
      </c>
      <c r="L67" s="10">
        <f t="shared" si="10"/>
        <v>-0.58175261283792234</v>
      </c>
      <c r="M67" s="44">
        <f t="shared" si="11"/>
        <v>67</v>
      </c>
      <c r="N67" s="1" t="str">
        <f t="shared" ref="N67:N94" si="38">IF($B67=1,"",$A67)</f>
        <v/>
      </c>
      <c r="O67" s="1">
        <f t="shared" ref="O67:O94" si="39">IF($B67=1,$A67,"")</f>
        <v>78</v>
      </c>
      <c r="P67" s="5"/>
      <c r="AD67" s="8"/>
      <c r="AR67" s="1"/>
      <c r="AS67" s="64">
        <v>78</v>
      </c>
      <c r="AT67" s="65">
        <v>0</v>
      </c>
      <c r="AU67" s="27">
        <f>SUM(AT$2:AT67)/COUNTA(AS$2:AS67)</f>
        <v>0.71212121212121215</v>
      </c>
      <c r="AV67" s="27">
        <f t="shared" ref="AV67:AV93" si="40">AU67/AU$93</f>
        <v>1.1493886230728336</v>
      </c>
      <c r="AW67" s="27"/>
      <c r="AY67" s="13">
        <f t="shared" si="31"/>
        <v>0.23677173296067089</v>
      </c>
      <c r="AZ67" s="36">
        <f t="shared" si="32"/>
        <v>1.2671518357618357</v>
      </c>
      <c r="BA67" s="23">
        <f t="shared" si="33"/>
        <v>0.55891794090448821</v>
      </c>
    </row>
    <row r="68" spans="1:53" ht="14.25" thickTop="1" thickBot="1" x14ac:dyDescent="0.25">
      <c r="A68" s="64">
        <v>78</v>
      </c>
      <c r="B68" s="65">
        <v>0</v>
      </c>
      <c r="D68" s="69">
        <v>5</v>
      </c>
      <c r="E68" s="14" t="s">
        <v>38</v>
      </c>
      <c r="H68" s="8">
        <f t="shared" si="34"/>
        <v>0.23677173296067089</v>
      </c>
      <c r="I68" s="8">
        <f t="shared" si="35"/>
        <v>1.2671518357618357</v>
      </c>
      <c r="J68" s="8">
        <f t="shared" si="36"/>
        <v>0.55891794090448821</v>
      </c>
      <c r="K68" s="8">
        <f t="shared" si="37"/>
        <v>0.44108205909551179</v>
      </c>
      <c r="L68" s="10">
        <f t="shared" ref="L68:L94" si="41">LN(K68)</f>
        <v>-0.81852434579859323</v>
      </c>
      <c r="M68" s="44">
        <f t="shared" ref="M68:M94" si="42">M67+1</f>
        <v>68</v>
      </c>
      <c r="N68" s="1">
        <f t="shared" si="38"/>
        <v>78</v>
      </c>
      <c r="O68" s="1" t="str">
        <f t="shared" si="39"/>
        <v/>
      </c>
      <c r="P68" s="5"/>
      <c r="AA68" s="8"/>
      <c r="AB68" s="8"/>
      <c r="AC68" s="8"/>
      <c r="AD68" s="8"/>
      <c r="AR68" s="1"/>
      <c r="AS68" s="64">
        <v>78</v>
      </c>
      <c r="AT68" s="65">
        <v>0</v>
      </c>
      <c r="AU68" s="27">
        <f>SUM(AT$2:AT68)/COUNTA(AS$2:AS68)</f>
        <v>0.70149253731343286</v>
      </c>
      <c r="AV68" s="27">
        <f t="shared" si="40"/>
        <v>1.1322335689971197</v>
      </c>
      <c r="AW68" s="27"/>
      <c r="AY68" s="13">
        <f t="shared" si="31"/>
        <v>0.23677173296067089</v>
      </c>
      <c r="AZ68" s="36">
        <f t="shared" si="32"/>
        <v>1.2671518357618357</v>
      </c>
      <c r="BA68" s="23">
        <f t="shared" si="33"/>
        <v>0.55891794090448821</v>
      </c>
    </row>
    <row r="69" spans="1:53" ht="13.5" thickTop="1" x14ac:dyDescent="0.2">
      <c r="A69" s="64">
        <v>78</v>
      </c>
      <c r="B69" s="65">
        <v>0</v>
      </c>
      <c r="D69" s="1">
        <f>ABS(D41/D68)</f>
        <v>1.2872180451127833</v>
      </c>
      <c r="E69" s="14" t="s">
        <v>91</v>
      </c>
      <c r="F69" s="15" t="str">
        <f ca="1">_xlfn.FORMULATEXT(D69)</f>
        <v>=ABS(D41/D68)</v>
      </c>
      <c r="H69" s="8">
        <f t="shared" si="34"/>
        <v>0.23677173296067089</v>
      </c>
      <c r="I69" s="8">
        <f t="shared" si="35"/>
        <v>1.2671518357618357</v>
      </c>
      <c r="J69" s="8">
        <f t="shared" si="36"/>
        <v>0.55891794090448821</v>
      </c>
      <c r="K69" s="8">
        <f t="shared" si="37"/>
        <v>0.44108205909551179</v>
      </c>
      <c r="L69" s="10">
        <f t="shared" si="41"/>
        <v>-0.81852434579859323</v>
      </c>
      <c r="M69" s="44">
        <f t="shared" si="42"/>
        <v>69</v>
      </c>
      <c r="N69" s="1">
        <f t="shared" si="38"/>
        <v>78</v>
      </c>
      <c r="O69" s="1" t="str">
        <f t="shared" si="39"/>
        <v/>
      </c>
      <c r="P69" s="5"/>
      <c r="AA69" s="8"/>
      <c r="AB69" s="8"/>
      <c r="AC69" s="8"/>
      <c r="AD69" s="8"/>
      <c r="AR69" s="1"/>
      <c r="AS69" s="64">
        <v>80</v>
      </c>
      <c r="AT69" s="65">
        <v>1</v>
      </c>
      <c r="AU69" s="27">
        <f>SUM(AT$2:AT69)/COUNTA(AS$2:AS69)</f>
        <v>0.70588235294117652</v>
      </c>
      <c r="AV69" s="27">
        <f t="shared" si="40"/>
        <v>1.1393188854489165</v>
      </c>
      <c r="AW69" s="27"/>
      <c r="AY69" s="13">
        <f t="shared" si="31"/>
        <v>0.1245546078927795</v>
      </c>
      <c r="AZ69" s="36">
        <f t="shared" si="32"/>
        <v>1.1326438700665056</v>
      </c>
      <c r="BA69" s="23">
        <f t="shared" si="33"/>
        <v>0.5310984576300517</v>
      </c>
    </row>
    <row r="70" spans="1:53" x14ac:dyDescent="0.2">
      <c r="A70" s="64">
        <v>80</v>
      </c>
      <c r="B70" s="65">
        <v>1</v>
      </c>
      <c r="D70" s="1">
        <f>ROUND(D69+0.5,0)</f>
        <v>2</v>
      </c>
      <c r="E70" s="14" t="s">
        <v>92</v>
      </c>
      <c r="F70" s="15" t="str">
        <f ca="1">_xlfn.FORMULATEXT(D70)</f>
        <v>=ROUND(D69+0.5,0)</v>
      </c>
      <c r="H70" s="8">
        <f t="shared" si="34"/>
        <v>0.1245546078927795</v>
      </c>
      <c r="I70" s="8">
        <f t="shared" si="35"/>
        <v>1.1326438700665056</v>
      </c>
      <c r="J70" s="8">
        <f t="shared" si="36"/>
        <v>0.5310984576300517</v>
      </c>
      <c r="K70" s="8">
        <f t="shared" si="37"/>
        <v>0.5310984576300517</v>
      </c>
      <c r="L70" s="10">
        <f t="shared" si="41"/>
        <v>-0.63280785566259157</v>
      </c>
      <c r="M70" s="44">
        <f t="shared" si="42"/>
        <v>70</v>
      </c>
      <c r="N70" s="1" t="str">
        <f t="shared" si="38"/>
        <v/>
      </c>
      <c r="O70" s="1">
        <f t="shared" si="39"/>
        <v>80</v>
      </c>
      <c r="P70" s="5"/>
      <c r="Q70" s="5"/>
      <c r="R70" s="5"/>
      <c r="S70" s="5"/>
      <c r="AA70" s="8"/>
      <c r="AB70" s="8"/>
      <c r="AC70" s="8"/>
      <c r="AD70" s="8"/>
      <c r="AR70" s="1"/>
      <c r="AS70" s="64">
        <v>80</v>
      </c>
      <c r="AT70" s="65">
        <v>0</v>
      </c>
      <c r="AU70" s="27">
        <f>SUM(AT$2:AT70)/COUNTA(AS$2:AS70)</f>
        <v>0.69565217391304346</v>
      </c>
      <c r="AV70" s="27">
        <f t="shared" si="40"/>
        <v>1.1228070175438596</v>
      </c>
      <c r="AW70" s="27"/>
      <c r="AY70" s="13">
        <f t="shared" si="31"/>
        <v>0.1245546078927795</v>
      </c>
      <c r="AZ70" s="36">
        <f t="shared" si="32"/>
        <v>1.1326438700665056</v>
      </c>
      <c r="BA70" s="23">
        <f t="shared" si="33"/>
        <v>0.5310984576300517</v>
      </c>
    </row>
    <row r="71" spans="1:53" x14ac:dyDescent="0.2">
      <c r="A71" s="64">
        <v>80</v>
      </c>
      <c r="B71" s="65">
        <v>0</v>
      </c>
      <c r="H71" s="8">
        <f t="shared" si="34"/>
        <v>0.1245546078927795</v>
      </c>
      <c r="I71" s="8">
        <f t="shared" si="35"/>
        <v>1.1326438700665056</v>
      </c>
      <c r="J71" s="8">
        <f t="shared" si="36"/>
        <v>0.5310984576300517</v>
      </c>
      <c r="K71" s="8">
        <f t="shared" si="37"/>
        <v>0.4689015423699483</v>
      </c>
      <c r="L71" s="10">
        <f t="shared" si="41"/>
        <v>-0.75736246355537096</v>
      </c>
      <c r="M71" s="44">
        <f t="shared" si="42"/>
        <v>71</v>
      </c>
      <c r="N71" s="1">
        <f t="shared" si="38"/>
        <v>80</v>
      </c>
      <c r="O71" s="1" t="str">
        <f t="shared" si="39"/>
        <v/>
      </c>
      <c r="P71" s="5"/>
      <c r="Q71" s="5"/>
      <c r="R71" s="5"/>
      <c r="S71" s="5"/>
      <c r="AR71" s="1"/>
      <c r="AS71" s="64">
        <v>80</v>
      </c>
      <c r="AT71" s="65">
        <v>0</v>
      </c>
      <c r="AU71" s="27">
        <f>SUM(AT$2:AT71)/COUNTA(AS$2:AS71)</f>
        <v>0.68571428571428572</v>
      </c>
      <c r="AV71" s="27">
        <f t="shared" si="40"/>
        <v>1.1067669172932331</v>
      </c>
      <c r="AW71" s="27"/>
      <c r="AY71" s="13">
        <f t="shared" si="31"/>
        <v>0.1245546078927795</v>
      </c>
      <c r="AZ71" s="36">
        <f t="shared" si="32"/>
        <v>1.1326438700665056</v>
      </c>
      <c r="BA71" s="23">
        <f t="shared" si="33"/>
        <v>0.5310984576300517</v>
      </c>
    </row>
    <row r="72" spans="1:53" x14ac:dyDescent="0.2">
      <c r="A72" s="64">
        <v>80</v>
      </c>
      <c r="B72" s="65">
        <v>0</v>
      </c>
      <c r="D72" s="42" t="s">
        <v>74</v>
      </c>
      <c r="H72" s="8">
        <f t="shared" si="34"/>
        <v>0.1245546078927795</v>
      </c>
      <c r="I72" s="8">
        <f t="shared" si="35"/>
        <v>1.1326438700665056</v>
      </c>
      <c r="J72" s="8">
        <f t="shared" si="36"/>
        <v>0.5310984576300517</v>
      </c>
      <c r="K72" s="8">
        <f t="shared" si="37"/>
        <v>0.4689015423699483</v>
      </c>
      <c r="L72" s="10">
        <f t="shared" si="41"/>
        <v>-0.75736246355537096</v>
      </c>
      <c r="M72" s="44">
        <f t="shared" si="42"/>
        <v>72</v>
      </c>
      <c r="N72" s="1">
        <f t="shared" si="38"/>
        <v>80</v>
      </c>
      <c r="O72" s="1" t="str">
        <f t="shared" si="39"/>
        <v/>
      </c>
      <c r="P72" s="5"/>
      <c r="Q72" s="5"/>
      <c r="R72" s="5"/>
      <c r="S72" s="5"/>
      <c r="AR72" s="1"/>
      <c r="AS72" s="64">
        <v>82</v>
      </c>
      <c r="AT72" s="65">
        <v>0</v>
      </c>
      <c r="AU72" s="27">
        <f>SUM(AT$2:AT72)/COUNTA(AS$2:AS72)</f>
        <v>0.676056338028169</v>
      </c>
      <c r="AV72" s="27">
        <f t="shared" si="40"/>
        <v>1.0911786508524834</v>
      </c>
      <c r="AW72" s="27"/>
      <c r="AY72" s="13">
        <f t="shared" si="31"/>
        <v>1.2337482824888113E-2</v>
      </c>
      <c r="AZ72" s="36">
        <f t="shared" si="32"/>
        <v>1.0124139035224125</v>
      </c>
      <c r="BA72" s="23">
        <f t="shared" si="33"/>
        <v>0.50308433158325028</v>
      </c>
    </row>
    <row r="73" spans="1:53" x14ac:dyDescent="0.2">
      <c r="A73" s="64">
        <v>82</v>
      </c>
      <c r="B73" s="65">
        <v>0</v>
      </c>
      <c r="D73" s="8">
        <f>AVERAGE(O3:O94)</f>
        <v>70.421052631578945</v>
      </c>
      <c r="E73" s="15" t="str">
        <f ca="1">_xlfn.FORMULATEXT(D73)</f>
        <v>=AVERAGE(O3:O94)</v>
      </c>
      <c r="H73" s="8">
        <f t="shared" si="34"/>
        <v>1.2337482824888113E-2</v>
      </c>
      <c r="I73" s="8">
        <f t="shared" si="35"/>
        <v>1.0124139035224125</v>
      </c>
      <c r="J73" s="8">
        <f t="shared" si="36"/>
        <v>0.50308433158325028</v>
      </c>
      <c r="K73" s="8">
        <f t="shared" si="37"/>
        <v>0.49691566841674972</v>
      </c>
      <c r="L73" s="10">
        <f t="shared" si="41"/>
        <v>-0.69933494853702571</v>
      </c>
      <c r="M73" s="44">
        <f t="shared" si="42"/>
        <v>73</v>
      </c>
      <c r="N73" s="1">
        <f t="shared" si="38"/>
        <v>82</v>
      </c>
      <c r="O73" s="1" t="str">
        <f t="shared" si="39"/>
        <v/>
      </c>
      <c r="P73" s="5"/>
      <c r="Q73" s="5"/>
      <c r="R73" s="5"/>
      <c r="S73" s="5"/>
      <c r="AR73" s="1"/>
      <c r="AS73" s="64">
        <v>82</v>
      </c>
      <c r="AT73" s="65">
        <v>1</v>
      </c>
      <c r="AU73" s="27">
        <f>SUM(AT$2:AT73)/COUNTA(AS$2:AS73)</f>
        <v>0.68055555555555558</v>
      </c>
      <c r="AV73" s="27">
        <f t="shared" si="40"/>
        <v>1.098440545808967</v>
      </c>
      <c r="AW73" s="27"/>
      <c r="AY73" s="13">
        <f t="shared" si="31"/>
        <v>1.2337482824888113E-2</v>
      </c>
      <c r="AZ73" s="36">
        <f t="shared" si="32"/>
        <v>1.0124139035224125</v>
      </c>
      <c r="BA73" s="23">
        <f t="shared" si="33"/>
        <v>0.50308433158325028</v>
      </c>
    </row>
    <row r="74" spans="1:53" x14ac:dyDescent="0.2">
      <c r="A74" s="64">
        <v>82</v>
      </c>
      <c r="B74" s="65">
        <v>1</v>
      </c>
      <c r="D74" s="8">
        <f>AVERAGE(N3:N94)</f>
        <v>76.857142857142861</v>
      </c>
      <c r="E74" s="15" t="str">
        <f ca="1">_xlfn.FORMULATEXT(D74)</f>
        <v>=AVERAGE(N3:N94)</v>
      </c>
      <c r="H74" s="8">
        <f t="shared" si="34"/>
        <v>1.2337482824888113E-2</v>
      </c>
      <c r="I74" s="8">
        <f t="shared" si="35"/>
        <v>1.0124139035224125</v>
      </c>
      <c r="J74" s="8">
        <f t="shared" si="36"/>
        <v>0.50308433158325028</v>
      </c>
      <c r="K74" s="8">
        <f t="shared" si="37"/>
        <v>0.50308433158325028</v>
      </c>
      <c r="L74" s="10">
        <f t="shared" si="41"/>
        <v>-0.68699746571213782</v>
      </c>
      <c r="M74" s="44">
        <f t="shared" si="42"/>
        <v>74</v>
      </c>
      <c r="N74" s="1" t="str">
        <f t="shared" si="38"/>
        <v/>
      </c>
      <c r="O74" s="1">
        <f t="shared" si="39"/>
        <v>82</v>
      </c>
      <c r="P74" s="5"/>
      <c r="Q74" s="5"/>
      <c r="R74" s="5"/>
      <c r="S74" s="5"/>
      <c r="AR74" s="1"/>
      <c r="AS74" s="64">
        <v>82</v>
      </c>
      <c r="AT74" s="65">
        <v>0</v>
      </c>
      <c r="AU74" s="27">
        <f>SUM(AT$2:AT74)/COUNTA(AS$2:AS74)</f>
        <v>0.67123287671232879</v>
      </c>
      <c r="AV74" s="27">
        <f t="shared" si="40"/>
        <v>1.0833934150444606</v>
      </c>
      <c r="AW74" s="27"/>
      <c r="AY74" s="13">
        <f t="shared" si="31"/>
        <v>1.2337482824888113E-2</v>
      </c>
      <c r="AZ74" s="36">
        <f t="shared" si="32"/>
        <v>1.0124139035224125</v>
      </c>
      <c r="BA74" s="23">
        <f t="shared" si="33"/>
        <v>0.50308433158325028</v>
      </c>
    </row>
    <row r="75" spans="1:53" x14ac:dyDescent="0.2">
      <c r="A75" s="64">
        <v>82</v>
      </c>
      <c r="B75" s="65">
        <v>0</v>
      </c>
      <c r="D75" s="15">
        <f>STDEV(O3:O94)</f>
        <v>9.947985022859509</v>
      </c>
      <c r="E75" s="15" t="str">
        <f t="shared" ref="E75:E80" ca="1" si="43">_xlfn.FORMULATEXT(D75)</f>
        <v>=STDEV(O3:O94)</v>
      </c>
      <c r="H75" s="8">
        <f t="shared" si="34"/>
        <v>1.2337482824888113E-2</v>
      </c>
      <c r="I75" s="8">
        <f t="shared" si="35"/>
        <v>1.0124139035224125</v>
      </c>
      <c r="J75" s="8">
        <f t="shared" si="36"/>
        <v>0.50308433158325028</v>
      </c>
      <c r="K75" s="8">
        <f t="shared" si="37"/>
        <v>0.49691566841674972</v>
      </c>
      <c r="L75" s="10">
        <f t="shared" si="41"/>
        <v>-0.69933494853702571</v>
      </c>
      <c r="M75" s="44">
        <f t="shared" si="42"/>
        <v>75</v>
      </c>
      <c r="N75" s="1">
        <f t="shared" si="38"/>
        <v>82</v>
      </c>
      <c r="O75" s="1" t="str">
        <f t="shared" si="39"/>
        <v/>
      </c>
      <c r="P75" s="5"/>
      <c r="Q75" s="5"/>
      <c r="R75" s="5"/>
      <c r="S75" s="5"/>
      <c r="AR75" s="1"/>
      <c r="AS75" s="64">
        <v>84</v>
      </c>
      <c r="AT75" s="65">
        <v>1</v>
      </c>
      <c r="AU75" s="27">
        <f>SUM(AT$2:AT75)/COUNTA(AS$2:AS75)</f>
        <v>0.67567567567567566</v>
      </c>
      <c r="AV75" s="27">
        <f t="shared" si="40"/>
        <v>1.0905642484589853</v>
      </c>
      <c r="AW75" s="27"/>
      <c r="AY75" s="13">
        <f t="shared" si="31"/>
        <v>-9.9879642243002387E-2</v>
      </c>
      <c r="AZ75" s="36">
        <f t="shared" si="32"/>
        <v>0.90494632879203762</v>
      </c>
      <c r="BA75" s="23">
        <f t="shared" si="33"/>
        <v>0.47505082695210693</v>
      </c>
    </row>
    <row r="76" spans="1:53" x14ac:dyDescent="0.2">
      <c r="A76" s="64">
        <v>84</v>
      </c>
      <c r="B76" s="65">
        <v>1</v>
      </c>
      <c r="D76" s="15">
        <f>STDEV(N3:N94)</f>
        <v>11.616780097425131</v>
      </c>
      <c r="E76" s="15" t="str">
        <f t="shared" ca="1" si="43"/>
        <v>=STDEV(N3:N94)</v>
      </c>
      <c r="H76" s="8">
        <f t="shared" si="34"/>
        <v>-9.9879642243002387E-2</v>
      </c>
      <c r="I76" s="8">
        <f t="shared" si="35"/>
        <v>0.90494632879203762</v>
      </c>
      <c r="J76" s="8">
        <f t="shared" si="36"/>
        <v>0.47505082695210693</v>
      </c>
      <c r="K76" s="8">
        <f t="shared" si="37"/>
        <v>0.47505082695210693</v>
      </c>
      <c r="L76" s="10">
        <f t="shared" si="41"/>
        <v>-0.7443334765623284</v>
      </c>
      <c r="M76" s="44">
        <f t="shared" si="42"/>
        <v>76</v>
      </c>
      <c r="N76" s="1" t="str">
        <f t="shared" si="38"/>
        <v/>
      </c>
      <c r="O76" s="1">
        <f t="shared" si="39"/>
        <v>84</v>
      </c>
      <c r="P76" s="5"/>
      <c r="Q76" s="5"/>
      <c r="R76" s="5"/>
      <c r="S76" s="5"/>
      <c r="AR76" s="1"/>
      <c r="AS76" s="64">
        <v>84</v>
      </c>
      <c r="AT76" s="65">
        <v>1</v>
      </c>
      <c r="AU76" s="27">
        <f>SUM(AT$2:AT76)/COUNTA(AS$2:AS76)</f>
        <v>0.68</v>
      </c>
      <c r="AV76" s="27">
        <f t="shared" si="40"/>
        <v>1.0975438596491229</v>
      </c>
      <c r="AW76" s="27"/>
      <c r="AY76" s="13">
        <f t="shared" si="31"/>
        <v>-9.9879642243002387E-2</v>
      </c>
      <c r="AZ76" s="36">
        <f t="shared" si="32"/>
        <v>0.90494632879203762</v>
      </c>
      <c r="BA76" s="23">
        <f t="shared" si="33"/>
        <v>0.47505082695210693</v>
      </c>
    </row>
    <row r="77" spans="1:53" x14ac:dyDescent="0.2">
      <c r="A77" s="64">
        <v>84</v>
      </c>
      <c r="B77" s="65">
        <v>1</v>
      </c>
      <c r="D77" s="8">
        <f>D73+D75</f>
        <v>80.369037654438458</v>
      </c>
      <c r="E77" s="15" t="str">
        <f t="shared" ca="1" si="43"/>
        <v>=D73+D75</v>
      </c>
      <c r="G77" s="5" t="s">
        <v>70</v>
      </c>
      <c r="H77" s="8">
        <f t="shared" si="34"/>
        <v>-9.9879642243002387E-2</v>
      </c>
      <c r="I77" s="8">
        <f t="shared" si="35"/>
        <v>0.90494632879203762</v>
      </c>
      <c r="J77" s="8">
        <f t="shared" si="36"/>
        <v>0.47505082695210693</v>
      </c>
      <c r="K77" s="8">
        <f t="shared" si="37"/>
        <v>0.47505082695210693</v>
      </c>
      <c r="L77" s="10">
        <f t="shared" si="41"/>
        <v>-0.7443334765623284</v>
      </c>
      <c r="M77" s="44">
        <f t="shared" si="42"/>
        <v>77</v>
      </c>
      <c r="N77" s="1" t="str">
        <f t="shared" si="38"/>
        <v/>
      </c>
      <c r="O77" s="1">
        <f t="shared" si="39"/>
        <v>84</v>
      </c>
      <c r="P77" s="5"/>
      <c r="Q77" s="5"/>
      <c r="R77" s="5"/>
      <c r="S77" s="5"/>
      <c r="AR77" s="1"/>
      <c r="AS77" s="64">
        <v>84</v>
      </c>
      <c r="AT77" s="65">
        <v>0</v>
      </c>
      <c r="AU77" s="27">
        <f>SUM(AT$2:AT77)/COUNTA(AS$2:AS77)</f>
        <v>0.67105263157894735</v>
      </c>
      <c r="AV77" s="27">
        <f t="shared" si="40"/>
        <v>1.0831024930747923</v>
      </c>
      <c r="AW77" s="27"/>
      <c r="AY77" s="13">
        <f t="shared" si="31"/>
        <v>-9.9879642243002387E-2</v>
      </c>
      <c r="AZ77" s="36">
        <f t="shared" si="32"/>
        <v>0.90494632879203762</v>
      </c>
      <c r="BA77" s="23">
        <f t="shared" si="33"/>
        <v>0.47505082695210693</v>
      </c>
    </row>
    <row r="78" spans="1:53" x14ac:dyDescent="0.2">
      <c r="A78" s="64">
        <v>84</v>
      </c>
      <c r="B78" s="65">
        <v>0</v>
      </c>
      <c r="D78" s="8">
        <f>D74-D76</f>
        <v>65.240362759717726</v>
      </c>
      <c r="E78" s="15" t="str">
        <f t="shared" ca="1" si="43"/>
        <v>=D74-D76</v>
      </c>
      <c r="G78" s="5" t="s">
        <v>71</v>
      </c>
      <c r="H78" s="8">
        <f t="shared" si="34"/>
        <v>-9.9879642243002387E-2</v>
      </c>
      <c r="I78" s="8">
        <f t="shared" si="35"/>
        <v>0.90494632879203762</v>
      </c>
      <c r="J78" s="8">
        <f t="shared" si="36"/>
        <v>0.47505082695210693</v>
      </c>
      <c r="K78" s="8">
        <f t="shared" si="37"/>
        <v>0.52494917304789301</v>
      </c>
      <c r="L78" s="10">
        <f t="shared" si="41"/>
        <v>-0.64445383431932624</v>
      </c>
      <c r="M78" s="44">
        <f t="shared" si="42"/>
        <v>78</v>
      </c>
      <c r="N78" s="1">
        <f t="shared" si="38"/>
        <v>84</v>
      </c>
      <c r="O78" s="1" t="str">
        <f t="shared" si="39"/>
        <v/>
      </c>
      <c r="P78" s="5"/>
      <c r="Q78" s="5"/>
      <c r="R78" s="5"/>
      <c r="S78" s="5"/>
      <c r="AR78" s="1"/>
      <c r="AS78" s="64">
        <v>84</v>
      </c>
      <c r="AT78" s="65">
        <v>0</v>
      </c>
      <c r="AU78" s="27">
        <f>SUM(AT$2:AT78)/COUNTA(AS$2:AS78)</f>
        <v>0.66233766233766234</v>
      </c>
      <c r="AV78" s="27">
        <f t="shared" si="40"/>
        <v>1.0690362269309639</v>
      </c>
      <c r="AW78" s="27"/>
      <c r="AY78" s="13">
        <f t="shared" si="31"/>
        <v>-9.9879642243002387E-2</v>
      </c>
      <c r="AZ78" s="36">
        <f t="shared" si="32"/>
        <v>0.90494632879203762</v>
      </c>
      <c r="BA78" s="23">
        <f t="shared" si="33"/>
        <v>0.47505082695210693</v>
      </c>
    </row>
    <row r="79" spans="1:53" x14ac:dyDescent="0.2">
      <c r="A79" s="64">
        <v>84</v>
      </c>
      <c r="B79" s="65">
        <v>0</v>
      </c>
      <c r="D79" s="22">
        <f>(D77-D33)/D33</f>
        <v>0.87744645407621136</v>
      </c>
      <c r="E79" s="15" t="str">
        <f t="shared" ca="1" si="43"/>
        <v>=(D77-D33)/D33</v>
      </c>
      <c r="G79" s="5" t="s">
        <v>73</v>
      </c>
      <c r="H79" s="8">
        <f t="shared" si="34"/>
        <v>-9.9879642243002387E-2</v>
      </c>
      <c r="I79" s="8">
        <f t="shared" si="35"/>
        <v>0.90494632879203762</v>
      </c>
      <c r="J79" s="8">
        <f t="shared" si="36"/>
        <v>0.47505082695210693</v>
      </c>
      <c r="K79" s="8">
        <f t="shared" si="37"/>
        <v>0.52494917304789301</v>
      </c>
      <c r="L79" s="10">
        <f t="shared" si="41"/>
        <v>-0.64445383431932624</v>
      </c>
      <c r="M79" s="44">
        <f t="shared" si="42"/>
        <v>79</v>
      </c>
      <c r="N79" s="1">
        <f t="shared" si="38"/>
        <v>84</v>
      </c>
      <c r="O79" s="1" t="str">
        <f t="shared" si="39"/>
        <v/>
      </c>
      <c r="P79" s="5"/>
      <c r="Q79" s="5"/>
      <c r="R79" s="5"/>
      <c r="S79" s="5"/>
      <c r="AR79" s="1"/>
      <c r="AS79" s="64">
        <v>86</v>
      </c>
      <c r="AT79" s="65">
        <v>0</v>
      </c>
      <c r="AU79" s="27">
        <f>SUM(AT$2:AT79)/COUNTA(AS$2:AS79)</f>
        <v>0.65384615384615385</v>
      </c>
      <c r="AV79" s="27">
        <f t="shared" si="40"/>
        <v>1.0553306342780027</v>
      </c>
      <c r="AW79" s="27"/>
      <c r="AY79" s="13">
        <f t="shared" si="31"/>
        <v>-0.21209676731089377</v>
      </c>
      <c r="AZ79" s="36">
        <f t="shared" si="32"/>
        <v>0.80888642001552347</v>
      </c>
      <c r="BA79" s="23">
        <f t="shared" si="33"/>
        <v>0.44717369264598811</v>
      </c>
    </row>
    <row r="80" spans="1:53" x14ac:dyDescent="0.2">
      <c r="A80" s="64">
        <v>86</v>
      </c>
      <c r="B80" s="65">
        <v>0</v>
      </c>
      <c r="D80" s="22">
        <f>(D78-D31)/D31</f>
        <v>-0.4644860542677679</v>
      </c>
      <c r="E80" s="15" t="str">
        <f t="shared" ca="1" si="43"/>
        <v>=(D78-D31)/D31</v>
      </c>
      <c r="G80" s="5" t="s">
        <v>72</v>
      </c>
      <c r="H80" s="8">
        <f t="shared" si="34"/>
        <v>-0.21209676731089377</v>
      </c>
      <c r="I80" s="8">
        <f t="shared" si="35"/>
        <v>0.80888642001552347</v>
      </c>
      <c r="J80" s="8">
        <f t="shared" si="36"/>
        <v>0.44717369264598811</v>
      </c>
      <c r="K80" s="8">
        <f t="shared" si="37"/>
        <v>0.55282630735401184</v>
      </c>
      <c r="L80" s="10">
        <f t="shared" si="41"/>
        <v>-0.59271141838096042</v>
      </c>
      <c r="M80" s="44">
        <f t="shared" si="42"/>
        <v>80</v>
      </c>
      <c r="N80" s="1">
        <f t="shared" si="38"/>
        <v>86</v>
      </c>
      <c r="O80" s="1" t="str">
        <f t="shared" si="39"/>
        <v/>
      </c>
      <c r="P80" s="5"/>
      <c r="Q80" s="5"/>
      <c r="R80" s="5"/>
      <c r="S80" s="5"/>
      <c r="AR80" s="1"/>
      <c r="AS80" s="64">
        <v>87</v>
      </c>
      <c r="AT80" s="65">
        <v>0</v>
      </c>
      <c r="AU80" s="27">
        <f>SUM(AT$2:AT80)/COUNTA(AS$2:AS80)</f>
        <v>0.64556962025316456</v>
      </c>
      <c r="AV80" s="27">
        <f t="shared" si="40"/>
        <v>1.0419720186542305</v>
      </c>
      <c r="AW80" s="27"/>
      <c r="AY80" s="13">
        <f t="shared" si="31"/>
        <v>-0.26820532984483947</v>
      </c>
      <c r="AZ80" s="36">
        <f t="shared" si="32"/>
        <v>0.76475073883013811</v>
      </c>
      <c r="BA80" s="23">
        <f t="shared" si="33"/>
        <v>0.43334773688044753</v>
      </c>
    </row>
    <row r="81" spans="1:53" x14ac:dyDescent="0.2">
      <c r="A81" s="64">
        <v>87</v>
      </c>
      <c r="B81" s="65">
        <v>0</v>
      </c>
      <c r="H81" s="8">
        <f t="shared" si="34"/>
        <v>-0.26820532984483947</v>
      </c>
      <c r="I81" s="8">
        <f t="shared" si="35"/>
        <v>0.76475073883013811</v>
      </c>
      <c r="J81" s="8">
        <f t="shared" si="36"/>
        <v>0.43334773688044753</v>
      </c>
      <c r="K81" s="8">
        <f t="shared" si="37"/>
        <v>0.56665226311955252</v>
      </c>
      <c r="L81" s="10">
        <f t="shared" si="41"/>
        <v>-0.56800945595330188</v>
      </c>
      <c r="M81" s="44">
        <f t="shared" si="42"/>
        <v>81</v>
      </c>
      <c r="N81" s="1">
        <f t="shared" si="38"/>
        <v>87</v>
      </c>
      <c r="O81" s="1" t="str">
        <f t="shared" si="39"/>
        <v/>
      </c>
      <c r="P81" s="5"/>
      <c r="Q81" s="5"/>
      <c r="R81" s="5"/>
      <c r="S81" s="5"/>
      <c r="AR81" s="1"/>
      <c r="AS81" s="64">
        <v>88</v>
      </c>
      <c r="AT81" s="65">
        <v>0</v>
      </c>
      <c r="AU81" s="27">
        <f>SUM(AT$2:AT81)/COUNTA(AS$2:AS81)</f>
        <v>0.63749999999999996</v>
      </c>
      <c r="AV81" s="27">
        <f t="shared" si="40"/>
        <v>1.0289473684210526</v>
      </c>
      <c r="AW81" s="27"/>
      <c r="AY81" s="13">
        <f t="shared" si="31"/>
        <v>-0.32431389237878516</v>
      </c>
      <c r="AZ81" s="36">
        <f t="shared" si="32"/>
        <v>0.72302325526743094</v>
      </c>
      <c r="BA81" s="23">
        <f t="shared" si="33"/>
        <v>0.41962478048806734</v>
      </c>
    </row>
    <row r="82" spans="1:53" x14ac:dyDescent="0.2">
      <c r="A82" s="64">
        <v>88</v>
      </c>
      <c r="B82" s="65">
        <v>0</v>
      </c>
      <c r="H82" s="8">
        <f t="shared" si="34"/>
        <v>-0.32431389237878516</v>
      </c>
      <c r="I82" s="8">
        <f t="shared" si="35"/>
        <v>0.72302325526743094</v>
      </c>
      <c r="J82" s="8">
        <f t="shared" si="36"/>
        <v>0.41962478048806734</v>
      </c>
      <c r="K82" s="8">
        <f t="shared" si="37"/>
        <v>0.58037521951193272</v>
      </c>
      <c r="L82" s="10">
        <f t="shared" si="41"/>
        <v>-0.54408045441781483</v>
      </c>
      <c r="M82" s="44">
        <f t="shared" si="42"/>
        <v>82</v>
      </c>
      <c r="N82" s="1">
        <f t="shared" si="38"/>
        <v>88</v>
      </c>
      <c r="O82" s="1" t="str">
        <f t="shared" si="39"/>
        <v/>
      </c>
      <c r="P82" s="5"/>
      <c r="Q82" s="5"/>
      <c r="R82" s="5"/>
      <c r="S82" s="5"/>
      <c r="AR82" s="1"/>
      <c r="AS82" s="64">
        <v>88</v>
      </c>
      <c r="AT82" s="65">
        <v>1</v>
      </c>
      <c r="AU82" s="27">
        <f>SUM(AT$2:AT82)/COUNTA(AS$2:AS82)</f>
        <v>0.64197530864197527</v>
      </c>
      <c r="AV82" s="27">
        <f t="shared" si="40"/>
        <v>1.0361706735975742</v>
      </c>
      <c r="AW82" s="27"/>
      <c r="AY82" s="13">
        <f t="shared" si="31"/>
        <v>-0.32431389237878516</v>
      </c>
      <c r="AZ82" s="36">
        <f t="shared" si="32"/>
        <v>0.72302325526743094</v>
      </c>
      <c r="BA82" s="23">
        <f t="shared" si="33"/>
        <v>0.41962478048806734</v>
      </c>
    </row>
    <row r="83" spans="1:53" x14ac:dyDescent="0.2">
      <c r="A83" s="64">
        <v>88</v>
      </c>
      <c r="B83" s="65">
        <v>1</v>
      </c>
      <c r="H83" s="8">
        <f t="shared" si="34"/>
        <v>-0.32431389237878516</v>
      </c>
      <c r="I83" s="8">
        <f t="shared" si="35"/>
        <v>0.72302325526743094</v>
      </c>
      <c r="J83" s="8">
        <f t="shared" si="36"/>
        <v>0.41962478048806734</v>
      </c>
      <c r="K83" s="8">
        <f t="shared" si="37"/>
        <v>0.41962478048806734</v>
      </c>
      <c r="L83" s="10">
        <f t="shared" si="41"/>
        <v>-0.8683943467966001</v>
      </c>
      <c r="M83" s="44">
        <f t="shared" si="42"/>
        <v>83</v>
      </c>
      <c r="N83" s="1" t="str">
        <f t="shared" si="38"/>
        <v/>
      </c>
      <c r="O83" s="1">
        <f t="shared" si="39"/>
        <v>88</v>
      </c>
      <c r="P83" s="5"/>
      <c r="Q83" s="5"/>
      <c r="R83" s="5"/>
      <c r="S83" s="5"/>
      <c r="AR83" s="1"/>
      <c r="AS83" s="64">
        <v>88</v>
      </c>
      <c r="AT83" s="65">
        <v>0</v>
      </c>
      <c r="AU83" s="27">
        <f>SUM(AT$2:AT83)/COUNTA(AS$2:AS83)</f>
        <v>0.63414634146341464</v>
      </c>
      <c r="AV83" s="27">
        <f t="shared" si="40"/>
        <v>1.0235344458707745</v>
      </c>
      <c r="AW83" s="27"/>
      <c r="AY83" s="13">
        <f t="shared" si="31"/>
        <v>-0.32431389237878516</v>
      </c>
      <c r="AZ83" s="36">
        <f t="shared" si="32"/>
        <v>0.72302325526743094</v>
      </c>
      <c r="BA83" s="23">
        <f t="shared" si="33"/>
        <v>0.41962478048806734</v>
      </c>
    </row>
    <row r="84" spans="1:53" x14ac:dyDescent="0.2">
      <c r="A84" s="64">
        <v>88</v>
      </c>
      <c r="B84" s="65">
        <v>0</v>
      </c>
      <c r="H84" s="8">
        <f t="shared" si="34"/>
        <v>-0.32431389237878516</v>
      </c>
      <c r="I84" s="8">
        <f t="shared" si="35"/>
        <v>0.72302325526743094</v>
      </c>
      <c r="J84" s="8">
        <f t="shared" si="36"/>
        <v>0.41962478048806734</v>
      </c>
      <c r="K84" s="8">
        <f t="shared" si="37"/>
        <v>0.58037521951193272</v>
      </c>
      <c r="L84" s="10">
        <f t="shared" si="41"/>
        <v>-0.54408045441781483</v>
      </c>
      <c r="M84" s="44">
        <f t="shared" si="42"/>
        <v>84</v>
      </c>
      <c r="N84" s="1">
        <f t="shared" si="38"/>
        <v>88</v>
      </c>
      <c r="O84" s="1" t="str">
        <f t="shared" si="39"/>
        <v/>
      </c>
      <c r="P84" s="5"/>
      <c r="Q84" s="5"/>
      <c r="R84" s="5"/>
      <c r="S84" s="5"/>
      <c r="AR84" s="1"/>
      <c r="AS84" s="64">
        <v>90</v>
      </c>
      <c r="AT84" s="65">
        <v>1</v>
      </c>
      <c r="AU84" s="27">
        <f>SUM(AT$2:AT84)/COUNTA(AS$2:AS84)</f>
        <v>0.63855421686746983</v>
      </c>
      <c r="AV84" s="27">
        <f t="shared" si="40"/>
        <v>1.0306489114352144</v>
      </c>
      <c r="AW84" s="27"/>
      <c r="AY84" s="13">
        <f t="shared" si="31"/>
        <v>-0.43653101744667655</v>
      </c>
      <c r="AZ84" s="36">
        <f t="shared" si="32"/>
        <v>0.64627445179198351</v>
      </c>
      <c r="BA84" s="23">
        <f t="shared" si="33"/>
        <v>0.39256786806629257</v>
      </c>
    </row>
    <row r="85" spans="1:53" x14ac:dyDescent="0.2">
      <c r="A85" s="64">
        <v>90</v>
      </c>
      <c r="B85" s="65">
        <v>1</v>
      </c>
      <c r="H85" s="8">
        <f t="shared" si="34"/>
        <v>-0.43653101744667655</v>
      </c>
      <c r="I85" s="8">
        <f t="shared" si="35"/>
        <v>0.64627445179198351</v>
      </c>
      <c r="J85" s="8">
        <f t="shared" si="36"/>
        <v>0.39256786806629257</v>
      </c>
      <c r="K85" s="8">
        <f t="shared" si="37"/>
        <v>0.39256786806629257</v>
      </c>
      <c r="L85" s="10">
        <f t="shared" si="41"/>
        <v>-0.93504584443646843</v>
      </c>
      <c r="M85" s="44">
        <f t="shared" si="42"/>
        <v>85</v>
      </c>
      <c r="N85" s="1" t="str">
        <f t="shared" si="38"/>
        <v/>
      </c>
      <c r="O85" s="1">
        <f t="shared" si="39"/>
        <v>90</v>
      </c>
      <c r="P85" s="5"/>
      <c r="Q85" s="5"/>
      <c r="R85" s="5"/>
      <c r="S85" s="5"/>
      <c r="AR85" s="1"/>
      <c r="AS85" s="64">
        <v>90</v>
      </c>
      <c r="AT85" s="65">
        <v>1</v>
      </c>
      <c r="AU85" s="27">
        <f>SUM(AT$2:AT85)/COUNTA(AS$2:AS85)</f>
        <v>0.6428571428571429</v>
      </c>
      <c r="AV85" s="27">
        <f t="shared" si="40"/>
        <v>1.0375939849624061</v>
      </c>
      <c r="AW85" s="27"/>
      <c r="AY85" s="13">
        <f t="shared" si="31"/>
        <v>-0.43653101744667655</v>
      </c>
      <c r="AZ85" s="36">
        <f t="shared" si="32"/>
        <v>0.64627445179198351</v>
      </c>
      <c r="BA85" s="23">
        <f t="shared" si="33"/>
        <v>0.39256786806629257</v>
      </c>
    </row>
    <row r="86" spans="1:53" x14ac:dyDescent="0.2">
      <c r="A86" s="64">
        <v>90</v>
      </c>
      <c r="B86" s="65">
        <v>1</v>
      </c>
      <c r="H86" s="8">
        <f t="shared" si="34"/>
        <v>-0.43653101744667655</v>
      </c>
      <c r="I86" s="8">
        <f t="shared" si="35"/>
        <v>0.64627445179198351</v>
      </c>
      <c r="J86" s="8">
        <f t="shared" si="36"/>
        <v>0.39256786806629257</v>
      </c>
      <c r="K86" s="8">
        <f t="shared" si="37"/>
        <v>0.39256786806629257</v>
      </c>
      <c r="L86" s="10">
        <f t="shared" si="41"/>
        <v>-0.93504584443646843</v>
      </c>
      <c r="M86" s="44">
        <f t="shared" si="42"/>
        <v>86</v>
      </c>
      <c r="N86" s="1" t="str">
        <f t="shared" si="38"/>
        <v/>
      </c>
      <c r="O86" s="1">
        <f t="shared" si="39"/>
        <v>90</v>
      </c>
      <c r="P86" s="5"/>
      <c r="Q86" s="5"/>
      <c r="R86" s="5"/>
      <c r="S86" s="5"/>
      <c r="AR86" s="1"/>
      <c r="AS86" s="64">
        <v>90</v>
      </c>
      <c r="AT86" s="65">
        <v>1</v>
      </c>
      <c r="AU86" s="27">
        <f>SUM(AT$2:AT86)/COUNTA(AS$2:AS86)</f>
        <v>0.6470588235294118</v>
      </c>
      <c r="AV86" s="27">
        <f t="shared" si="40"/>
        <v>1.04437564499484</v>
      </c>
      <c r="AW86" s="27"/>
      <c r="AY86" s="13">
        <f t="shared" si="31"/>
        <v>-0.43653101744667655</v>
      </c>
      <c r="AZ86" s="36">
        <f t="shared" si="32"/>
        <v>0.64627445179198351</v>
      </c>
      <c r="BA86" s="23">
        <f t="shared" si="33"/>
        <v>0.39256786806629257</v>
      </c>
    </row>
    <row r="87" spans="1:53" x14ac:dyDescent="0.2">
      <c r="A87" s="64">
        <v>90</v>
      </c>
      <c r="B87" s="65">
        <v>1</v>
      </c>
      <c r="H87" s="8">
        <f t="shared" si="34"/>
        <v>-0.43653101744667655</v>
      </c>
      <c r="I87" s="8">
        <f t="shared" si="35"/>
        <v>0.64627445179198351</v>
      </c>
      <c r="J87" s="8">
        <f t="shared" si="36"/>
        <v>0.39256786806629257</v>
      </c>
      <c r="K87" s="8">
        <f t="shared" si="37"/>
        <v>0.39256786806629257</v>
      </c>
      <c r="L87" s="10">
        <f t="shared" si="41"/>
        <v>-0.93504584443646843</v>
      </c>
      <c r="M87" s="44">
        <f t="shared" si="42"/>
        <v>87</v>
      </c>
      <c r="N87" s="1" t="str">
        <f t="shared" si="38"/>
        <v/>
      </c>
      <c r="O87" s="1">
        <f t="shared" si="39"/>
        <v>90</v>
      </c>
      <c r="P87" s="5"/>
      <c r="Q87" s="5"/>
      <c r="R87" s="5"/>
      <c r="S87" s="5"/>
      <c r="AR87" s="1"/>
      <c r="AS87" s="64">
        <v>90</v>
      </c>
      <c r="AT87" s="65">
        <v>0</v>
      </c>
      <c r="AU87" s="27">
        <f>SUM(AT$2:AT87)/COUNTA(AS$2:AS87)</f>
        <v>0.63953488372093026</v>
      </c>
      <c r="AV87" s="27">
        <f t="shared" si="40"/>
        <v>1.0322317421460629</v>
      </c>
      <c r="AW87" s="27"/>
      <c r="AY87" s="13">
        <f t="shared" si="31"/>
        <v>-0.43653101744667655</v>
      </c>
      <c r="AZ87" s="36">
        <f t="shared" si="32"/>
        <v>0.64627445179198351</v>
      </c>
      <c r="BA87" s="23">
        <f t="shared" si="33"/>
        <v>0.39256786806629257</v>
      </c>
    </row>
    <row r="88" spans="1:53" x14ac:dyDescent="0.2">
      <c r="A88" s="64">
        <v>90</v>
      </c>
      <c r="B88" s="65">
        <v>0</v>
      </c>
      <c r="H88" s="8">
        <f t="shared" si="34"/>
        <v>-0.43653101744667655</v>
      </c>
      <c r="I88" s="8">
        <f t="shared" si="35"/>
        <v>0.64627445179198351</v>
      </c>
      <c r="J88" s="8">
        <f t="shared" si="36"/>
        <v>0.39256786806629257</v>
      </c>
      <c r="K88" s="8">
        <f t="shared" si="37"/>
        <v>0.60743213193370749</v>
      </c>
      <c r="L88" s="10">
        <f t="shared" si="41"/>
        <v>-0.49851482698979177</v>
      </c>
      <c r="M88" s="44">
        <f t="shared" si="42"/>
        <v>88</v>
      </c>
      <c r="N88" s="1">
        <f t="shared" si="38"/>
        <v>90</v>
      </c>
      <c r="O88" s="1" t="str">
        <f t="shared" si="39"/>
        <v/>
      </c>
      <c r="P88" s="5"/>
      <c r="Q88" s="5"/>
      <c r="R88" s="5"/>
      <c r="S88" s="5"/>
      <c r="AR88" s="1"/>
      <c r="AS88" s="64">
        <v>92</v>
      </c>
      <c r="AT88" s="65">
        <v>1</v>
      </c>
      <c r="AU88" s="27">
        <f>SUM(AT$2:AT88)/COUNTA(AS$2:AS88)</f>
        <v>0.64367816091954022</v>
      </c>
      <c r="AV88" s="27">
        <f t="shared" si="40"/>
        <v>1.0389191369227666</v>
      </c>
      <c r="AW88" s="27"/>
      <c r="AY88" s="13">
        <f t="shared" si="31"/>
        <v>-0.54874814251456794</v>
      </c>
      <c r="AZ88" s="36">
        <f t="shared" si="32"/>
        <v>0.5776725215906664</v>
      </c>
      <c r="BA88" s="23">
        <f t="shared" si="33"/>
        <v>0.36615489823467046</v>
      </c>
    </row>
    <row r="89" spans="1:53" x14ac:dyDescent="0.2">
      <c r="A89" s="64">
        <v>92</v>
      </c>
      <c r="B89" s="65">
        <v>1</v>
      </c>
      <c r="H89" s="8">
        <f t="shared" si="34"/>
        <v>-0.54874814251456794</v>
      </c>
      <c r="I89" s="8">
        <f t="shared" si="35"/>
        <v>0.5776725215906664</v>
      </c>
      <c r="J89" s="8">
        <f t="shared" si="36"/>
        <v>0.36615489823467046</v>
      </c>
      <c r="K89" s="8">
        <f t="shared" si="37"/>
        <v>0.36615489823467046</v>
      </c>
      <c r="L89" s="10">
        <f t="shared" si="41"/>
        <v>-1.0046988158923538</v>
      </c>
      <c r="M89" s="44">
        <f t="shared" si="42"/>
        <v>89</v>
      </c>
      <c r="N89" s="1" t="str">
        <f t="shared" si="38"/>
        <v/>
      </c>
      <c r="O89" s="1">
        <f t="shared" si="39"/>
        <v>92</v>
      </c>
      <c r="P89" s="5"/>
      <c r="Q89" s="5"/>
      <c r="R89" s="5"/>
      <c r="S89" s="5"/>
      <c r="AR89" s="1"/>
      <c r="AS89" s="64">
        <v>92</v>
      </c>
      <c r="AT89" s="65">
        <v>1</v>
      </c>
      <c r="AU89" s="27">
        <f>SUM(AT$2:AT89)/COUNTA(AS$2:AS89)</f>
        <v>0.64772727272727271</v>
      </c>
      <c r="AV89" s="27">
        <f t="shared" si="40"/>
        <v>1.0454545454545454</v>
      </c>
      <c r="AW89" s="27"/>
      <c r="AY89" s="13">
        <f t="shared" si="31"/>
        <v>-0.54874814251456794</v>
      </c>
      <c r="AZ89" s="36">
        <f t="shared" si="32"/>
        <v>0.5776725215906664</v>
      </c>
      <c r="BA89" s="23">
        <f t="shared" si="33"/>
        <v>0.36615489823467046</v>
      </c>
    </row>
    <row r="90" spans="1:53" x14ac:dyDescent="0.2">
      <c r="A90" s="64">
        <v>92</v>
      </c>
      <c r="B90" s="65">
        <v>1</v>
      </c>
      <c r="H90" s="8">
        <f t="shared" si="34"/>
        <v>-0.54874814251456794</v>
      </c>
      <c r="I90" s="8">
        <f t="shared" si="35"/>
        <v>0.5776725215906664</v>
      </c>
      <c r="J90" s="8">
        <f t="shared" si="36"/>
        <v>0.36615489823467046</v>
      </c>
      <c r="K90" s="8">
        <f t="shared" si="37"/>
        <v>0.36615489823467046</v>
      </c>
      <c r="L90" s="10">
        <f t="shared" si="41"/>
        <v>-1.0046988158923538</v>
      </c>
      <c r="M90" s="44">
        <f t="shared" si="42"/>
        <v>90</v>
      </c>
      <c r="N90" s="1" t="str">
        <f t="shared" si="38"/>
        <v/>
      </c>
      <c r="O90" s="1">
        <f t="shared" si="39"/>
        <v>92</v>
      </c>
      <c r="P90" s="5"/>
      <c r="Q90" s="5"/>
      <c r="R90" s="5"/>
      <c r="S90" s="5"/>
      <c r="AR90" s="1"/>
      <c r="AS90" s="64">
        <v>94</v>
      </c>
      <c r="AT90" s="65">
        <v>0</v>
      </c>
      <c r="AU90" s="27">
        <f>SUM(AT$2:AT90)/COUNTA(AS$2:AS90)</f>
        <v>0.6404494382022472</v>
      </c>
      <c r="AV90" s="27">
        <f t="shared" si="40"/>
        <v>1.0337078651685394</v>
      </c>
      <c r="AW90" s="27">
        <v>1</v>
      </c>
      <c r="AY90" s="13">
        <f t="shared" si="31"/>
        <v>-0.66096526758245933</v>
      </c>
      <c r="AZ90" s="36">
        <f t="shared" si="32"/>
        <v>0.51635267536202833</v>
      </c>
      <c r="BA90" s="23">
        <f t="shared" si="33"/>
        <v>0.34052281092111331</v>
      </c>
    </row>
    <row r="91" spans="1:53" x14ac:dyDescent="0.2">
      <c r="A91" s="64">
        <v>94</v>
      </c>
      <c r="B91" s="65">
        <v>0</v>
      </c>
      <c r="H91" s="8">
        <f t="shared" si="34"/>
        <v>-0.66096526758245933</v>
      </c>
      <c r="I91" s="8">
        <f t="shared" si="35"/>
        <v>0.51635267536202833</v>
      </c>
      <c r="J91" s="8">
        <f t="shared" si="36"/>
        <v>0.34052281092111331</v>
      </c>
      <c r="K91" s="8">
        <f t="shared" si="37"/>
        <v>0.65947718907888664</v>
      </c>
      <c r="L91" s="10">
        <f t="shared" si="41"/>
        <v>-0.41630789562782594</v>
      </c>
      <c r="M91" s="44">
        <f t="shared" si="42"/>
        <v>91</v>
      </c>
      <c r="N91" s="1">
        <f t="shared" si="38"/>
        <v>94</v>
      </c>
      <c r="O91" s="1" t="str">
        <f t="shared" si="39"/>
        <v/>
      </c>
      <c r="P91" s="5"/>
      <c r="Q91" s="5"/>
      <c r="R91" s="5"/>
      <c r="S91" s="5"/>
      <c r="AR91" s="1"/>
      <c r="AS91" s="64">
        <v>96</v>
      </c>
      <c r="AT91" s="65">
        <v>0</v>
      </c>
      <c r="AU91" s="27">
        <f>SUM(AT$2:AT91)/COUNTA(AS$2:AS91)</f>
        <v>0.6333333333333333</v>
      </c>
      <c r="AV91" s="27">
        <f t="shared" si="40"/>
        <v>1.0222222222222221</v>
      </c>
      <c r="AW91" s="27">
        <v>1</v>
      </c>
      <c r="AY91" s="13">
        <f t="shared" si="31"/>
        <v>-0.77318239265034983</v>
      </c>
      <c r="AZ91" s="36">
        <f t="shared" si="32"/>
        <v>0.46154192105133407</v>
      </c>
      <c r="BA91" s="23">
        <f t="shared" si="33"/>
        <v>0.31579109323072452</v>
      </c>
    </row>
    <row r="92" spans="1:53" x14ac:dyDescent="0.2">
      <c r="A92" s="64">
        <v>96</v>
      </c>
      <c r="B92" s="65">
        <v>0</v>
      </c>
      <c r="H92" s="8">
        <f t="shared" si="34"/>
        <v>-0.77318239265034983</v>
      </c>
      <c r="I92" s="8">
        <f t="shared" si="35"/>
        <v>0.46154192105133407</v>
      </c>
      <c r="J92" s="8">
        <f t="shared" si="36"/>
        <v>0.31579109323072452</v>
      </c>
      <c r="K92" s="8">
        <f t="shared" si="37"/>
        <v>0.68420890676927548</v>
      </c>
      <c r="L92" s="10">
        <f t="shared" si="41"/>
        <v>-0.37949198873722562</v>
      </c>
      <c r="M92" s="44">
        <f t="shared" si="42"/>
        <v>92</v>
      </c>
      <c r="N92" s="1">
        <f t="shared" si="38"/>
        <v>96</v>
      </c>
      <c r="O92" s="1" t="str">
        <f t="shared" si="39"/>
        <v/>
      </c>
      <c r="P92" s="5"/>
      <c r="Q92" s="5"/>
      <c r="R92" s="5"/>
      <c r="S92" s="5"/>
      <c r="AR92" s="1"/>
      <c r="AS92" s="64">
        <v>96</v>
      </c>
      <c r="AT92" s="65">
        <v>0</v>
      </c>
      <c r="AU92" s="27">
        <f>SUM(AT$2:AT92)/COUNTA(AS$2:AS92)</f>
        <v>0.62637362637362637</v>
      </c>
      <c r="AV92" s="27">
        <f t="shared" si="40"/>
        <v>1.0109890109890109</v>
      </c>
      <c r="AW92" s="27">
        <v>1</v>
      </c>
      <c r="AY92" s="13">
        <f t="shared" si="31"/>
        <v>-0.77318239265034983</v>
      </c>
      <c r="AZ92" s="36">
        <f t="shared" si="32"/>
        <v>0.46154192105133407</v>
      </c>
      <c r="BA92" s="23">
        <f t="shared" si="33"/>
        <v>0.31579109323072452</v>
      </c>
    </row>
    <row r="93" spans="1:53" ht="13.5" thickBot="1" x14ac:dyDescent="0.25">
      <c r="A93" s="64">
        <v>96</v>
      </c>
      <c r="B93" s="65">
        <v>0</v>
      </c>
      <c r="H93" s="8">
        <f t="shared" si="34"/>
        <v>-0.77318239265034983</v>
      </c>
      <c r="I93" s="8">
        <f t="shared" si="35"/>
        <v>0.46154192105133407</v>
      </c>
      <c r="J93" s="8">
        <f t="shared" si="36"/>
        <v>0.31579109323072452</v>
      </c>
      <c r="K93" s="8">
        <f t="shared" si="37"/>
        <v>0.68420890676927548</v>
      </c>
      <c r="L93" s="10">
        <f t="shared" si="41"/>
        <v>-0.37949198873722562</v>
      </c>
      <c r="M93" s="44">
        <f t="shared" si="42"/>
        <v>93</v>
      </c>
      <c r="N93" s="1">
        <f t="shared" si="38"/>
        <v>96</v>
      </c>
      <c r="O93" s="1" t="str">
        <f t="shared" si="39"/>
        <v/>
      </c>
      <c r="P93" s="5"/>
      <c r="Q93" s="5"/>
      <c r="R93" s="5"/>
      <c r="S93" s="5"/>
      <c r="AR93" s="1"/>
      <c r="AS93" s="67">
        <v>100</v>
      </c>
      <c r="AT93" s="68">
        <v>0</v>
      </c>
      <c r="AU93" s="27">
        <f>SUM(AT$2:AT93)/COUNTA(AS$2:AS93)</f>
        <v>0.61956521739130432</v>
      </c>
      <c r="AV93" s="27">
        <f t="shared" si="40"/>
        <v>1</v>
      </c>
      <c r="AW93" s="27">
        <v>1</v>
      </c>
      <c r="AY93" s="13">
        <f t="shared" si="31"/>
        <v>-0.9976166427861326</v>
      </c>
      <c r="AZ93" s="36">
        <f t="shared" si="32"/>
        <v>0.36875727497161531</v>
      </c>
      <c r="BA93" s="23">
        <f t="shared" si="33"/>
        <v>0.26941027581333765</v>
      </c>
    </row>
    <row r="94" spans="1:53" ht="13.5" thickBot="1" x14ac:dyDescent="0.25">
      <c r="A94" s="67">
        <v>100</v>
      </c>
      <c r="B94" s="68">
        <v>0</v>
      </c>
      <c r="H94" s="8">
        <f t="shared" si="34"/>
        <v>-0.9976166427861326</v>
      </c>
      <c r="I94" s="8">
        <f t="shared" si="35"/>
        <v>0.36875727497161531</v>
      </c>
      <c r="J94" s="8">
        <f t="shared" si="36"/>
        <v>0.26941027581333765</v>
      </c>
      <c r="K94" s="8">
        <f t="shared" si="37"/>
        <v>0.73058972418666235</v>
      </c>
      <c r="L94" s="10">
        <f t="shared" si="41"/>
        <v>-0.31390322961630457</v>
      </c>
      <c r="M94" s="44">
        <f t="shared" si="42"/>
        <v>94</v>
      </c>
      <c r="N94" s="1">
        <f t="shared" si="38"/>
        <v>100</v>
      </c>
      <c r="O94" s="1" t="str">
        <f t="shared" si="39"/>
        <v/>
      </c>
      <c r="P94" s="5"/>
      <c r="Q94" s="5"/>
      <c r="R94" s="5"/>
      <c r="S94" s="5"/>
      <c r="AS94" s="1"/>
      <c r="AT94" s="1"/>
    </row>
    <row r="95" spans="1:53" x14ac:dyDescent="0.2">
      <c r="M95" s="44"/>
      <c r="AS95" s="1"/>
      <c r="AT95" s="1"/>
    </row>
    <row r="96" spans="1:53" x14ac:dyDescent="0.2">
      <c r="AS96" s="1"/>
      <c r="AT96" s="1"/>
    </row>
    <row r="97" spans="45:46" x14ac:dyDescent="0.2">
      <c r="AS97" s="1"/>
      <c r="AT97" s="1"/>
    </row>
    <row r="98" spans="45:46" x14ac:dyDescent="0.2">
      <c r="AS98" s="1"/>
      <c r="AT98" s="1"/>
    </row>
    <row r="99" spans="45:46" x14ac:dyDescent="0.2">
      <c r="AS99" s="1"/>
      <c r="AT99" s="1"/>
    </row>
    <row r="100" spans="45:46" x14ac:dyDescent="0.2">
      <c r="AS100" s="1"/>
      <c r="AT100" s="1"/>
    </row>
    <row r="101" spans="45:46" x14ac:dyDescent="0.2">
      <c r="AS101" s="1"/>
      <c r="AT101" s="1"/>
    </row>
    <row r="102" spans="45:46" x14ac:dyDescent="0.2">
      <c r="AS102" s="1"/>
      <c r="AT102" s="1"/>
    </row>
    <row r="103" spans="45:46" x14ac:dyDescent="0.2">
      <c r="AS103" s="1"/>
      <c r="AT103" s="1"/>
    </row>
    <row r="104" spans="45:46" x14ac:dyDescent="0.2">
      <c r="AS104" s="1"/>
      <c r="AT104" s="1"/>
    </row>
    <row r="105" spans="45:46" x14ac:dyDescent="0.2">
      <c r="AS105" s="1"/>
      <c r="AT105" s="1"/>
    </row>
    <row r="106" spans="45:46" x14ac:dyDescent="0.2">
      <c r="AS106" s="1"/>
      <c r="AT106" s="1"/>
    </row>
    <row r="107" spans="45:46" x14ac:dyDescent="0.2">
      <c r="AS107" s="1"/>
      <c r="AT107" s="1"/>
    </row>
    <row r="108" spans="45:46" x14ac:dyDescent="0.2">
      <c r="AS108" s="1"/>
      <c r="AT108" s="1"/>
    </row>
    <row r="109" spans="45:46" x14ac:dyDescent="0.2">
      <c r="AS109" s="1"/>
      <c r="AT109" s="1"/>
    </row>
    <row r="110" spans="45:46" x14ac:dyDescent="0.2">
      <c r="AS110" s="1"/>
      <c r="AT110" s="1"/>
    </row>
    <row r="111" spans="45:46" x14ac:dyDescent="0.2">
      <c r="AS111" s="1"/>
      <c r="AT111" s="1"/>
    </row>
    <row r="112" spans="45:46" x14ac:dyDescent="0.2">
      <c r="AS112" s="1"/>
      <c r="AT112" s="1"/>
    </row>
  </sheetData>
  <pageMargins left="0.75" right="0.75" top="1" bottom="1" header="0.5" footer="0.5"/>
  <pageSetup orientation="portrait" horizontalDpi="1200" verticalDpi="1200" r:id="rId1"/>
  <headerFooter alignWithMargins="0">
    <oddHeader>&amp;L10/27/2014&amp;CMLE and OLS-Based Logistic Models:
Model Gender based on Rest Pulse&amp;R V0B</oddHeader>
    <oddFooter>&amp;L2014-Schield-Logistic-MLE-OLS-Excel2013.xlsx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workbookViewId="0"/>
  </sheetViews>
  <sheetFormatPr defaultRowHeight="12.75" x14ac:dyDescent="0.2"/>
  <cols>
    <col min="10" max="11" width="9.140625" style="1" customWidth="1"/>
    <col min="12" max="12" width="7.42578125" style="1" customWidth="1"/>
    <col min="13" max="16" width="9.140625" style="1" customWidth="1"/>
    <col min="17" max="17" width="7" style="1" customWidth="1"/>
  </cols>
  <sheetData>
    <row r="1" spans="1:17" x14ac:dyDescent="0.2">
      <c r="A1" t="s">
        <v>3</v>
      </c>
      <c r="B1" t="s">
        <v>4</v>
      </c>
      <c r="C1" t="s">
        <v>5</v>
      </c>
      <c r="D1" t="s">
        <v>6</v>
      </c>
      <c r="E1" t="s">
        <v>0</v>
      </c>
      <c r="F1" t="s">
        <v>1</v>
      </c>
      <c r="G1" t="s">
        <v>2</v>
      </c>
      <c r="H1" t="s">
        <v>7</v>
      </c>
      <c r="J1" s="1" t="s">
        <v>12</v>
      </c>
      <c r="K1" s="1" t="s">
        <v>13</v>
      </c>
      <c r="L1" s="11" t="s">
        <v>1</v>
      </c>
      <c r="M1" s="11" t="s">
        <v>2</v>
      </c>
      <c r="N1" s="11" t="s">
        <v>14</v>
      </c>
      <c r="O1" s="11" t="s">
        <v>5</v>
      </c>
      <c r="P1" s="11" t="s">
        <v>6</v>
      </c>
      <c r="Q1" s="11" t="s">
        <v>26</v>
      </c>
    </row>
    <row r="2" spans="1:17" x14ac:dyDescent="0.2">
      <c r="A2">
        <v>48</v>
      </c>
      <c r="B2">
        <v>54</v>
      </c>
      <c r="C2" t="s">
        <v>9</v>
      </c>
      <c r="D2" t="s">
        <v>8</v>
      </c>
      <c r="E2" t="s">
        <v>10</v>
      </c>
      <c r="F2">
        <v>68</v>
      </c>
      <c r="G2">
        <v>150</v>
      </c>
      <c r="H2">
        <v>1</v>
      </c>
      <c r="J2" s="1">
        <v>48</v>
      </c>
      <c r="K2" s="1">
        <v>54</v>
      </c>
      <c r="L2" s="1">
        <v>68</v>
      </c>
      <c r="M2" s="1">
        <v>150</v>
      </c>
      <c r="N2" s="1">
        <v>1</v>
      </c>
      <c r="O2" s="1">
        <v>0</v>
      </c>
      <c r="P2" s="1">
        <v>1</v>
      </c>
      <c r="Q2" s="1">
        <v>1</v>
      </c>
    </row>
    <row r="3" spans="1:17" x14ac:dyDescent="0.2">
      <c r="A3">
        <v>54</v>
      </c>
      <c r="B3">
        <v>56</v>
      </c>
      <c r="C3" t="s">
        <v>9</v>
      </c>
      <c r="D3" t="s">
        <v>8</v>
      </c>
      <c r="E3" t="s">
        <v>10</v>
      </c>
      <c r="F3">
        <v>69</v>
      </c>
      <c r="G3">
        <v>145</v>
      </c>
      <c r="H3">
        <v>2</v>
      </c>
      <c r="J3" s="1">
        <v>54</v>
      </c>
      <c r="K3" s="1">
        <v>56</v>
      </c>
      <c r="L3" s="1">
        <v>69</v>
      </c>
      <c r="M3" s="1">
        <v>145</v>
      </c>
      <c r="N3" s="1">
        <v>2</v>
      </c>
      <c r="O3" s="1">
        <v>0</v>
      </c>
      <c r="P3" s="1">
        <v>1</v>
      </c>
      <c r="Q3" s="1">
        <v>1</v>
      </c>
    </row>
    <row r="4" spans="1:17" x14ac:dyDescent="0.2">
      <c r="A4">
        <v>54</v>
      </c>
      <c r="B4">
        <v>50</v>
      </c>
      <c r="C4" t="s">
        <v>9</v>
      </c>
      <c r="D4" t="s">
        <v>9</v>
      </c>
      <c r="E4" t="s">
        <v>10</v>
      </c>
      <c r="F4">
        <v>69</v>
      </c>
      <c r="G4">
        <v>160</v>
      </c>
      <c r="H4">
        <v>2</v>
      </c>
      <c r="J4" s="1">
        <v>54</v>
      </c>
      <c r="K4" s="1">
        <v>50</v>
      </c>
      <c r="L4" s="1">
        <v>69</v>
      </c>
      <c r="M4" s="1">
        <v>160</v>
      </c>
      <c r="N4" s="1">
        <v>2</v>
      </c>
      <c r="O4" s="1">
        <v>0</v>
      </c>
      <c r="P4" s="1">
        <v>0</v>
      </c>
      <c r="Q4" s="1">
        <v>1</v>
      </c>
    </row>
    <row r="5" spans="1:17" x14ac:dyDescent="0.2">
      <c r="A5">
        <v>58</v>
      </c>
      <c r="B5">
        <v>70</v>
      </c>
      <c r="C5" t="s">
        <v>8</v>
      </c>
      <c r="D5" t="s">
        <v>9</v>
      </c>
      <c r="E5" t="s">
        <v>10</v>
      </c>
      <c r="F5">
        <v>72</v>
      </c>
      <c r="G5">
        <v>145</v>
      </c>
      <c r="H5">
        <v>2</v>
      </c>
      <c r="J5" s="1">
        <v>58</v>
      </c>
      <c r="K5" s="1">
        <v>70</v>
      </c>
      <c r="L5" s="1">
        <v>72</v>
      </c>
      <c r="M5" s="1">
        <v>145</v>
      </c>
      <c r="N5" s="1">
        <v>2</v>
      </c>
      <c r="O5" s="1">
        <v>1</v>
      </c>
      <c r="P5" s="1">
        <v>0</v>
      </c>
      <c r="Q5" s="1">
        <v>1</v>
      </c>
    </row>
    <row r="6" spans="1:17" x14ac:dyDescent="0.2">
      <c r="A6">
        <v>58</v>
      </c>
      <c r="B6">
        <v>58</v>
      </c>
      <c r="C6" t="s">
        <v>9</v>
      </c>
      <c r="D6" t="s">
        <v>9</v>
      </c>
      <c r="E6" t="s">
        <v>10</v>
      </c>
      <c r="F6">
        <v>66</v>
      </c>
      <c r="G6">
        <v>135</v>
      </c>
      <c r="H6">
        <v>3</v>
      </c>
      <c r="J6" s="1">
        <v>58</v>
      </c>
      <c r="K6" s="1">
        <v>58</v>
      </c>
      <c r="L6" s="1">
        <v>66</v>
      </c>
      <c r="M6" s="1">
        <v>135</v>
      </c>
      <c r="N6" s="1">
        <v>3</v>
      </c>
      <c r="O6" s="1">
        <v>0</v>
      </c>
      <c r="P6" s="1">
        <v>0</v>
      </c>
      <c r="Q6" s="1">
        <v>1</v>
      </c>
    </row>
    <row r="7" spans="1:17" x14ac:dyDescent="0.2">
      <c r="A7">
        <v>58</v>
      </c>
      <c r="B7">
        <v>56</v>
      </c>
      <c r="C7" t="s">
        <v>9</v>
      </c>
      <c r="D7" t="s">
        <v>9</v>
      </c>
      <c r="E7" t="s">
        <v>11</v>
      </c>
      <c r="F7">
        <v>67</v>
      </c>
      <c r="G7">
        <v>125</v>
      </c>
      <c r="H7">
        <v>2</v>
      </c>
      <c r="J7" s="1">
        <v>58</v>
      </c>
      <c r="K7" s="1">
        <v>56</v>
      </c>
      <c r="L7" s="1">
        <v>67</v>
      </c>
      <c r="M7" s="1">
        <v>125</v>
      </c>
      <c r="N7" s="1">
        <v>2</v>
      </c>
      <c r="O7" s="1">
        <v>0</v>
      </c>
      <c r="P7" s="1">
        <v>0</v>
      </c>
      <c r="Q7" s="11">
        <v>0</v>
      </c>
    </row>
    <row r="8" spans="1:17" x14ac:dyDescent="0.2">
      <c r="A8">
        <v>60</v>
      </c>
      <c r="B8">
        <v>76</v>
      </c>
      <c r="C8" t="s">
        <v>8</v>
      </c>
      <c r="D8" t="s">
        <v>9</v>
      </c>
      <c r="E8" t="s">
        <v>10</v>
      </c>
      <c r="F8">
        <v>71</v>
      </c>
      <c r="G8">
        <v>170</v>
      </c>
      <c r="H8">
        <v>3</v>
      </c>
      <c r="J8" s="1">
        <v>60</v>
      </c>
      <c r="K8" s="1">
        <v>76</v>
      </c>
      <c r="L8" s="1">
        <v>71</v>
      </c>
      <c r="M8" s="1">
        <v>170</v>
      </c>
      <c r="N8" s="1">
        <v>3</v>
      </c>
      <c r="O8" s="1">
        <v>1</v>
      </c>
      <c r="P8" s="1">
        <v>0</v>
      </c>
      <c r="Q8" s="1">
        <v>1</v>
      </c>
    </row>
    <row r="9" spans="1:17" x14ac:dyDescent="0.2">
      <c r="A9">
        <v>60</v>
      </c>
      <c r="B9">
        <v>62</v>
      </c>
      <c r="C9" t="s">
        <v>9</v>
      </c>
      <c r="D9" t="s">
        <v>9</v>
      </c>
      <c r="E9" t="s">
        <v>10</v>
      </c>
      <c r="F9">
        <v>71</v>
      </c>
      <c r="G9">
        <v>155</v>
      </c>
      <c r="H9">
        <v>2</v>
      </c>
      <c r="J9" s="1">
        <v>60</v>
      </c>
      <c r="K9" s="1">
        <v>62</v>
      </c>
      <c r="L9" s="1">
        <v>71</v>
      </c>
      <c r="M9" s="1">
        <v>155</v>
      </c>
      <c r="N9" s="1">
        <v>2</v>
      </c>
      <c r="O9" s="1">
        <v>0</v>
      </c>
      <c r="P9" s="1">
        <v>0</v>
      </c>
      <c r="Q9" s="1">
        <v>1</v>
      </c>
    </row>
    <row r="10" spans="1:17" x14ac:dyDescent="0.2">
      <c r="A10">
        <v>60</v>
      </c>
      <c r="B10">
        <v>70</v>
      </c>
      <c r="C10" t="s">
        <v>9</v>
      </c>
      <c r="D10" t="s">
        <v>8</v>
      </c>
      <c r="E10" t="s">
        <v>10</v>
      </c>
      <c r="F10">
        <v>71.5</v>
      </c>
      <c r="G10">
        <v>164</v>
      </c>
      <c r="H10">
        <v>2</v>
      </c>
      <c r="J10" s="1">
        <v>60</v>
      </c>
      <c r="K10" s="1">
        <v>70</v>
      </c>
      <c r="L10" s="1">
        <v>71.5</v>
      </c>
      <c r="M10" s="1">
        <v>164</v>
      </c>
      <c r="N10" s="1">
        <v>2</v>
      </c>
      <c r="O10" s="1">
        <v>0</v>
      </c>
      <c r="P10" s="1">
        <v>1</v>
      </c>
      <c r="Q10" s="1">
        <v>1</v>
      </c>
    </row>
    <row r="11" spans="1:17" x14ac:dyDescent="0.2">
      <c r="A11">
        <v>60</v>
      </c>
      <c r="B11">
        <v>66</v>
      </c>
      <c r="C11" t="s">
        <v>9</v>
      </c>
      <c r="D11" t="s">
        <v>9</v>
      </c>
      <c r="E11" t="s">
        <v>11</v>
      </c>
      <c r="F11">
        <v>62</v>
      </c>
      <c r="G11">
        <v>120</v>
      </c>
      <c r="H11">
        <v>2</v>
      </c>
      <c r="J11" s="1">
        <v>60</v>
      </c>
      <c r="K11" s="1">
        <v>66</v>
      </c>
      <c r="L11" s="1">
        <v>62</v>
      </c>
      <c r="M11" s="1">
        <v>120</v>
      </c>
      <c r="N11" s="1">
        <v>2</v>
      </c>
      <c r="O11" s="1">
        <v>0</v>
      </c>
      <c r="P11" s="1">
        <v>0</v>
      </c>
      <c r="Q11" s="11">
        <v>0</v>
      </c>
    </row>
    <row r="12" spans="1:17" x14ac:dyDescent="0.2">
      <c r="A12">
        <v>61</v>
      </c>
      <c r="B12">
        <v>70</v>
      </c>
      <c r="C12" t="s">
        <v>9</v>
      </c>
      <c r="D12" t="s">
        <v>9</v>
      </c>
      <c r="E12" t="s">
        <v>11</v>
      </c>
      <c r="F12">
        <v>65.5</v>
      </c>
      <c r="G12">
        <v>120</v>
      </c>
      <c r="H12">
        <v>2</v>
      </c>
      <c r="J12" s="1">
        <v>61</v>
      </c>
      <c r="K12" s="1">
        <v>70</v>
      </c>
      <c r="L12" s="1">
        <v>65.5</v>
      </c>
      <c r="M12" s="1">
        <v>120</v>
      </c>
      <c r="N12" s="1">
        <v>2</v>
      </c>
      <c r="O12" s="1">
        <v>0</v>
      </c>
      <c r="P12" s="1">
        <v>0</v>
      </c>
      <c r="Q12" s="11">
        <v>0</v>
      </c>
    </row>
    <row r="13" spans="1:17" x14ac:dyDescent="0.2">
      <c r="A13">
        <v>62</v>
      </c>
      <c r="B13">
        <v>76</v>
      </c>
      <c r="C13" t="s">
        <v>8</v>
      </c>
      <c r="D13" t="s">
        <v>8</v>
      </c>
      <c r="E13" t="s">
        <v>10</v>
      </c>
      <c r="F13">
        <v>73.5</v>
      </c>
      <c r="G13">
        <v>160</v>
      </c>
      <c r="H13">
        <v>3</v>
      </c>
      <c r="J13" s="1">
        <v>62</v>
      </c>
      <c r="K13" s="1">
        <v>76</v>
      </c>
      <c r="L13" s="1">
        <v>73.5</v>
      </c>
      <c r="M13" s="1">
        <v>160</v>
      </c>
      <c r="N13" s="1">
        <v>3</v>
      </c>
      <c r="O13" s="1">
        <v>1</v>
      </c>
      <c r="P13" s="1">
        <v>1</v>
      </c>
      <c r="Q13" s="1">
        <v>1</v>
      </c>
    </row>
    <row r="14" spans="1:17" x14ac:dyDescent="0.2">
      <c r="A14">
        <v>62</v>
      </c>
      <c r="B14">
        <v>75</v>
      </c>
      <c r="C14" t="s">
        <v>8</v>
      </c>
      <c r="D14" t="s">
        <v>9</v>
      </c>
      <c r="E14" t="s">
        <v>10</v>
      </c>
      <c r="F14">
        <v>72</v>
      </c>
      <c r="G14">
        <v>195</v>
      </c>
      <c r="H14">
        <v>2</v>
      </c>
      <c r="J14" s="1">
        <v>62</v>
      </c>
      <c r="K14" s="1">
        <v>75</v>
      </c>
      <c r="L14" s="1">
        <v>72</v>
      </c>
      <c r="M14" s="1">
        <v>195</v>
      </c>
      <c r="N14" s="1">
        <v>2</v>
      </c>
      <c r="O14" s="1">
        <v>1</v>
      </c>
      <c r="P14" s="1">
        <v>0</v>
      </c>
      <c r="Q14" s="1">
        <v>1</v>
      </c>
    </row>
    <row r="15" spans="1:17" x14ac:dyDescent="0.2">
      <c r="A15">
        <v>62</v>
      </c>
      <c r="B15">
        <v>58</v>
      </c>
      <c r="C15" t="s">
        <v>8</v>
      </c>
      <c r="D15" t="s">
        <v>9</v>
      </c>
      <c r="E15" t="s">
        <v>10</v>
      </c>
      <c r="F15">
        <v>72</v>
      </c>
      <c r="G15">
        <v>175</v>
      </c>
      <c r="H15">
        <v>3</v>
      </c>
      <c r="J15" s="1">
        <v>62</v>
      </c>
      <c r="K15" s="1">
        <v>58</v>
      </c>
      <c r="L15" s="1">
        <v>72</v>
      </c>
      <c r="M15" s="1">
        <v>175</v>
      </c>
      <c r="N15" s="1">
        <v>3</v>
      </c>
      <c r="O15" s="1">
        <v>1</v>
      </c>
      <c r="P15" s="1">
        <v>0</v>
      </c>
      <c r="Q15" s="1">
        <v>1</v>
      </c>
    </row>
    <row r="16" spans="1:17" x14ac:dyDescent="0.2">
      <c r="A16">
        <v>62</v>
      </c>
      <c r="B16">
        <v>100</v>
      </c>
      <c r="C16" t="s">
        <v>8</v>
      </c>
      <c r="D16" t="s">
        <v>9</v>
      </c>
      <c r="E16" t="s">
        <v>11</v>
      </c>
      <c r="F16">
        <v>66</v>
      </c>
      <c r="G16">
        <v>120</v>
      </c>
      <c r="H16">
        <v>2</v>
      </c>
      <c r="J16" s="1">
        <v>62</v>
      </c>
      <c r="K16" s="1">
        <v>100</v>
      </c>
      <c r="L16" s="1">
        <v>66</v>
      </c>
      <c r="M16" s="1">
        <v>120</v>
      </c>
      <c r="N16" s="1">
        <v>2</v>
      </c>
      <c r="O16" s="1">
        <v>1</v>
      </c>
      <c r="P16" s="1">
        <v>0</v>
      </c>
      <c r="Q16" s="1">
        <v>0</v>
      </c>
    </row>
    <row r="17" spans="1:17" x14ac:dyDescent="0.2">
      <c r="A17">
        <v>62</v>
      </c>
      <c r="B17">
        <v>98</v>
      </c>
      <c r="C17" t="s">
        <v>8</v>
      </c>
      <c r="D17" t="s">
        <v>8</v>
      </c>
      <c r="E17" t="s">
        <v>11</v>
      </c>
      <c r="F17">
        <v>62.75</v>
      </c>
      <c r="G17">
        <v>112</v>
      </c>
      <c r="H17">
        <v>2</v>
      </c>
      <c r="J17" s="1">
        <v>62</v>
      </c>
      <c r="K17" s="1">
        <v>98</v>
      </c>
      <c r="L17" s="1">
        <v>62.75</v>
      </c>
      <c r="M17" s="1">
        <v>112</v>
      </c>
      <c r="N17" s="1">
        <v>2</v>
      </c>
      <c r="O17" s="1">
        <v>1</v>
      </c>
      <c r="P17" s="1">
        <v>1</v>
      </c>
      <c r="Q17" s="1">
        <v>0</v>
      </c>
    </row>
    <row r="18" spans="1:17" x14ac:dyDescent="0.2">
      <c r="A18">
        <v>62</v>
      </c>
      <c r="B18">
        <v>62</v>
      </c>
      <c r="C18" t="s">
        <v>9</v>
      </c>
      <c r="D18" t="s">
        <v>9</v>
      </c>
      <c r="E18" t="s">
        <v>10</v>
      </c>
      <c r="F18">
        <v>74</v>
      </c>
      <c r="G18">
        <v>190</v>
      </c>
      <c r="H18">
        <v>1</v>
      </c>
      <c r="J18" s="1">
        <v>62</v>
      </c>
      <c r="K18" s="1">
        <v>62</v>
      </c>
      <c r="L18" s="1">
        <v>74</v>
      </c>
      <c r="M18" s="1">
        <v>190</v>
      </c>
      <c r="N18" s="1">
        <v>1</v>
      </c>
      <c r="O18" s="1">
        <v>0</v>
      </c>
      <c r="P18" s="1">
        <v>0</v>
      </c>
      <c r="Q18" s="1">
        <v>1</v>
      </c>
    </row>
    <row r="19" spans="1:17" x14ac:dyDescent="0.2">
      <c r="A19">
        <v>62</v>
      </c>
      <c r="B19">
        <v>66</v>
      </c>
      <c r="C19" t="s">
        <v>9</v>
      </c>
      <c r="D19" t="s">
        <v>9</v>
      </c>
      <c r="E19" t="s">
        <v>10</v>
      </c>
      <c r="F19">
        <v>70</v>
      </c>
      <c r="G19">
        <v>155</v>
      </c>
      <c r="H19">
        <v>2</v>
      </c>
      <c r="J19" s="1">
        <v>62</v>
      </c>
      <c r="K19" s="1">
        <v>66</v>
      </c>
      <c r="L19" s="1">
        <v>70</v>
      </c>
      <c r="M19" s="1">
        <v>155</v>
      </c>
      <c r="N19" s="1">
        <v>2</v>
      </c>
      <c r="O19" s="1">
        <v>0</v>
      </c>
      <c r="P19" s="1">
        <v>0</v>
      </c>
      <c r="Q19" s="1">
        <v>1</v>
      </c>
    </row>
    <row r="20" spans="1:17" x14ac:dyDescent="0.2">
      <c r="A20">
        <v>62</v>
      </c>
      <c r="B20">
        <v>68</v>
      </c>
      <c r="C20" t="s">
        <v>9</v>
      </c>
      <c r="D20" t="s">
        <v>8</v>
      </c>
      <c r="E20" t="s">
        <v>10</v>
      </c>
      <c r="F20">
        <v>73</v>
      </c>
      <c r="G20">
        <v>155</v>
      </c>
      <c r="H20">
        <v>2</v>
      </c>
      <c r="J20" s="1">
        <v>62</v>
      </c>
      <c r="K20" s="1">
        <v>68</v>
      </c>
      <c r="L20" s="1">
        <v>73</v>
      </c>
      <c r="M20" s="1">
        <v>155</v>
      </c>
      <c r="N20" s="1">
        <v>2</v>
      </c>
      <c r="O20" s="1">
        <v>0</v>
      </c>
      <c r="P20" s="1">
        <v>1</v>
      </c>
      <c r="Q20" s="1">
        <v>1</v>
      </c>
    </row>
    <row r="21" spans="1:17" x14ac:dyDescent="0.2">
      <c r="A21">
        <v>62</v>
      </c>
      <c r="B21">
        <v>66</v>
      </c>
      <c r="C21" t="s">
        <v>9</v>
      </c>
      <c r="D21" t="s">
        <v>9</v>
      </c>
      <c r="E21" t="s">
        <v>11</v>
      </c>
      <c r="F21">
        <v>65</v>
      </c>
      <c r="G21">
        <v>122</v>
      </c>
      <c r="H21">
        <v>3</v>
      </c>
      <c r="J21" s="1">
        <v>62</v>
      </c>
      <c r="K21" s="1">
        <v>66</v>
      </c>
      <c r="L21" s="1">
        <v>65</v>
      </c>
      <c r="M21" s="1">
        <v>122</v>
      </c>
      <c r="N21" s="1">
        <v>3</v>
      </c>
      <c r="O21" s="1">
        <v>0</v>
      </c>
      <c r="P21" s="1">
        <v>0</v>
      </c>
      <c r="Q21" s="1">
        <v>0</v>
      </c>
    </row>
    <row r="22" spans="1:17" x14ac:dyDescent="0.2">
      <c r="A22">
        <v>64</v>
      </c>
      <c r="B22">
        <v>88</v>
      </c>
      <c r="C22" t="s">
        <v>8</v>
      </c>
      <c r="D22" t="s">
        <v>9</v>
      </c>
      <c r="E22" t="s">
        <v>10</v>
      </c>
      <c r="F22">
        <v>66</v>
      </c>
      <c r="G22">
        <v>140</v>
      </c>
      <c r="H22">
        <v>2</v>
      </c>
      <c r="J22" s="1">
        <v>64</v>
      </c>
      <c r="K22" s="1">
        <v>88</v>
      </c>
      <c r="L22" s="1">
        <v>66</v>
      </c>
      <c r="M22" s="1">
        <v>140</v>
      </c>
      <c r="N22" s="1">
        <v>2</v>
      </c>
      <c r="O22" s="1">
        <v>1</v>
      </c>
      <c r="P22" s="1">
        <v>0</v>
      </c>
      <c r="Q22" s="1">
        <v>1</v>
      </c>
    </row>
    <row r="23" spans="1:17" x14ac:dyDescent="0.2">
      <c r="A23">
        <v>64</v>
      </c>
      <c r="B23">
        <v>80</v>
      </c>
      <c r="C23" t="s">
        <v>8</v>
      </c>
      <c r="D23" t="s">
        <v>9</v>
      </c>
      <c r="E23" t="s">
        <v>10</v>
      </c>
      <c r="F23">
        <v>69</v>
      </c>
      <c r="G23">
        <v>155</v>
      </c>
      <c r="H23">
        <v>2</v>
      </c>
      <c r="J23" s="1">
        <v>64</v>
      </c>
      <c r="K23" s="1">
        <v>80</v>
      </c>
      <c r="L23" s="1">
        <v>69</v>
      </c>
      <c r="M23" s="1">
        <v>155</v>
      </c>
      <c r="N23" s="1">
        <v>2</v>
      </c>
      <c r="O23" s="1">
        <v>1</v>
      </c>
      <c r="P23" s="1">
        <v>0</v>
      </c>
      <c r="Q23" s="1">
        <v>1</v>
      </c>
    </row>
    <row r="24" spans="1:17" x14ac:dyDescent="0.2">
      <c r="A24">
        <v>64</v>
      </c>
      <c r="B24">
        <v>62</v>
      </c>
      <c r="C24" t="s">
        <v>9</v>
      </c>
      <c r="D24" t="s">
        <v>9</v>
      </c>
      <c r="E24" t="s">
        <v>10</v>
      </c>
      <c r="F24">
        <v>75</v>
      </c>
      <c r="G24">
        <v>160</v>
      </c>
      <c r="H24">
        <v>3</v>
      </c>
      <c r="J24" s="1">
        <v>64</v>
      </c>
      <c r="K24" s="1">
        <v>62</v>
      </c>
      <c r="L24" s="1">
        <v>75</v>
      </c>
      <c r="M24" s="1">
        <v>160</v>
      </c>
      <c r="N24" s="1">
        <v>3</v>
      </c>
      <c r="O24" s="1">
        <v>0</v>
      </c>
      <c r="P24" s="1">
        <v>0</v>
      </c>
      <c r="Q24" s="1">
        <v>1</v>
      </c>
    </row>
    <row r="25" spans="1:17" x14ac:dyDescent="0.2">
      <c r="A25">
        <v>64</v>
      </c>
      <c r="B25">
        <v>60</v>
      </c>
      <c r="C25" t="s">
        <v>9</v>
      </c>
      <c r="D25" t="s">
        <v>9</v>
      </c>
      <c r="E25" t="s">
        <v>11</v>
      </c>
      <c r="F25">
        <v>66</v>
      </c>
      <c r="G25">
        <v>130</v>
      </c>
      <c r="H25">
        <v>3</v>
      </c>
      <c r="J25" s="1">
        <v>64</v>
      </c>
      <c r="K25" s="1">
        <v>60</v>
      </c>
      <c r="L25" s="1">
        <v>66</v>
      </c>
      <c r="M25" s="1">
        <v>130</v>
      </c>
      <c r="N25" s="1">
        <v>3</v>
      </c>
      <c r="O25" s="1">
        <v>0</v>
      </c>
      <c r="P25" s="1">
        <v>0</v>
      </c>
      <c r="Q25" s="1">
        <v>0</v>
      </c>
    </row>
    <row r="26" spans="1:17" x14ac:dyDescent="0.2">
      <c r="A26">
        <v>66</v>
      </c>
      <c r="B26">
        <v>78</v>
      </c>
      <c r="C26" t="s">
        <v>8</v>
      </c>
      <c r="D26" t="s">
        <v>8</v>
      </c>
      <c r="E26" t="s">
        <v>10</v>
      </c>
      <c r="F26">
        <v>73</v>
      </c>
      <c r="G26">
        <v>190</v>
      </c>
      <c r="H26">
        <v>1</v>
      </c>
      <c r="J26" s="1">
        <v>66</v>
      </c>
      <c r="K26" s="1">
        <v>78</v>
      </c>
      <c r="L26" s="1">
        <v>73</v>
      </c>
      <c r="M26" s="1">
        <v>190</v>
      </c>
      <c r="N26" s="1">
        <v>1</v>
      </c>
      <c r="O26" s="1">
        <v>1</v>
      </c>
      <c r="P26" s="1">
        <v>1</v>
      </c>
      <c r="Q26" s="1">
        <v>1</v>
      </c>
    </row>
    <row r="27" spans="1:17" x14ac:dyDescent="0.2">
      <c r="A27">
        <v>66</v>
      </c>
      <c r="B27">
        <v>82</v>
      </c>
      <c r="C27" t="s">
        <v>8</v>
      </c>
      <c r="D27" t="s">
        <v>8</v>
      </c>
      <c r="E27" t="s">
        <v>10</v>
      </c>
      <c r="F27">
        <v>69</v>
      </c>
      <c r="G27">
        <v>175</v>
      </c>
      <c r="H27">
        <v>2</v>
      </c>
      <c r="J27" s="1">
        <v>66</v>
      </c>
      <c r="K27" s="1">
        <v>82</v>
      </c>
      <c r="L27" s="1">
        <v>69</v>
      </c>
      <c r="M27" s="1">
        <v>175</v>
      </c>
      <c r="N27" s="1">
        <v>2</v>
      </c>
      <c r="O27" s="1">
        <v>1</v>
      </c>
      <c r="P27" s="1">
        <v>1</v>
      </c>
      <c r="Q27" s="1">
        <v>1</v>
      </c>
    </row>
    <row r="28" spans="1:17" x14ac:dyDescent="0.2">
      <c r="A28">
        <v>66</v>
      </c>
      <c r="B28">
        <v>102</v>
      </c>
      <c r="C28" t="s">
        <v>8</v>
      </c>
      <c r="D28" t="s">
        <v>9</v>
      </c>
      <c r="E28" t="s">
        <v>10</v>
      </c>
      <c r="F28">
        <v>70</v>
      </c>
      <c r="G28">
        <v>130</v>
      </c>
      <c r="H28">
        <v>2</v>
      </c>
      <c r="J28" s="1">
        <v>66</v>
      </c>
      <c r="K28" s="1">
        <v>102</v>
      </c>
      <c r="L28" s="1">
        <v>70</v>
      </c>
      <c r="M28" s="1">
        <v>130</v>
      </c>
      <c r="N28" s="1">
        <v>2</v>
      </c>
      <c r="O28" s="1">
        <v>1</v>
      </c>
      <c r="P28" s="1">
        <v>0</v>
      </c>
      <c r="Q28" s="1">
        <v>1</v>
      </c>
    </row>
    <row r="29" spans="1:17" x14ac:dyDescent="0.2">
      <c r="A29">
        <v>66</v>
      </c>
      <c r="B29">
        <v>72</v>
      </c>
      <c r="C29" t="s">
        <v>9</v>
      </c>
      <c r="D29" t="s">
        <v>9</v>
      </c>
      <c r="E29" t="s">
        <v>11</v>
      </c>
      <c r="F29">
        <v>66</v>
      </c>
      <c r="G29">
        <v>125</v>
      </c>
      <c r="H29">
        <v>2</v>
      </c>
      <c r="J29" s="1">
        <v>66</v>
      </c>
      <c r="K29" s="1">
        <v>72</v>
      </c>
      <c r="L29" s="1">
        <v>66</v>
      </c>
      <c r="M29" s="1">
        <v>125</v>
      </c>
      <c r="N29" s="1">
        <v>2</v>
      </c>
      <c r="O29" s="1">
        <v>0</v>
      </c>
      <c r="P29" s="1">
        <v>0</v>
      </c>
      <c r="Q29" s="1">
        <v>0</v>
      </c>
    </row>
    <row r="30" spans="1:17" x14ac:dyDescent="0.2">
      <c r="A30">
        <v>66</v>
      </c>
      <c r="B30">
        <v>76</v>
      </c>
      <c r="C30" t="s">
        <v>9</v>
      </c>
      <c r="D30" t="s">
        <v>9</v>
      </c>
      <c r="E30" t="s">
        <v>11</v>
      </c>
      <c r="F30">
        <v>65</v>
      </c>
      <c r="G30">
        <v>115</v>
      </c>
      <c r="H30">
        <v>2</v>
      </c>
      <c r="J30" s="1">
        <v>66</v>
      </c>
      <c r="K30" s="1">
        <v>76</v>
      </c>
      <c r="L30" s="1">
        <v>65</v>
      </c>
      <c r="M30" s="1">
        <v>115</v>
      </c>
      <c r="N30" s="1">
        <v>2</v>
      </c>
      <c r="O30" s="1">
        <v>0</v>
      </c>
      <c r="P30" s="1">
        <v>0</v>
      </c>
      <c r="Q30" s="1">
        <v>0</v>
      </c>
    </row>
    <row r="31" spans="1:17" x14ac:dyDescent="0.2">
      <c r="A31">
        <v>68</v>
      </c>
      <c r="B31">
        <v>72</v>
      </c>
      <c r="C31" t="s">
        <v>8</v>
      </c>
      <c r="D31" t="s">
        <v>9</v>
      </c>
      <c r="E31" t="s">
        <v>10</v>
      </c>
      <c r="F31">
        <v>74</v>
      </c>
      <c r="G31">
        <v>190</v>
      </c>
      <c r="H31">
        <v>2</v>
      </c>
      <c r="J31" s="1">
        <v>68</v>
      </c>
      <c r="K31" s="1">
        <v>72</v>
      </c>
      <c r="L31" s="1">
        <v>74</v>
      </c>
      <c r="M31" s="1">
        <v>190</v>
      </c>
      <c r="N31" s="1">
        <v>2</v>
      </c>
      <c r="O31" s="1">
        <v>1</v>
      </c>
      <c r="P31" s="1">
        <v>0</v>
      </c>
      <c r="Q31" s="1">
        <v>1</v>
      </c>
    </row>
    <row r="32" spans="1:17" x14ac:dyDescent="0.2">
      <c r="A32">
        <v>68</v>
      </c>
      <c r="B32">
        <v>76</v>
      </c>
      <c r="C32" t="s">
        <v>8</v>
      </c>
      <c r="D32" t="s">
        <v>9</v>
      </c>
      <c r="E32" t="s">
        <v>10</v>
      </c>
      <c r="F32">
        <v>67</v>
      </c>
      <c r="G32">
        <v>145</v>
      </c>
      <c r="H32">
        <v>2</v>
      </c>
      <c r="J32" s="1">
        <v>68</v>
      </c>
      <c r="K32" s="1">
        <v>76</v>
      </c>
      <c r="L32" s="1">
        <v>67</v>
      </c>
      <c r="M32" s="1">
        <v>145</v>
      </c>
      <c r="N32" s="1">
        <v>2</v>
      </c>
      <c r="O32" s="1">
        <v>1</v>
      </c>
      <c r="P32" s="1">
        <v>0</v>
      </c>
      <c r="Q32" s="1">
        <v>1</v>
      </c>
    </row>
    <row r="33" spans="1:17" x14ac:dyDescent="0.2">
      <c r="A33">
        <v>68</v>
      </c>
      <c r="B33">
        <v>76</v>
      </c>
      <c r="C33" t="s">
        <v>8</v>
      </c>
      <c r="D33" t="s">
        <v>8</v>
      </c>
      <c r="E33" t="s">
        <v>10</v>
      </c>
      <c r="F33">
        <v>74</v>
      </c>
      <c r="G33">
        <v>180</v>
      </c>
      <c r="H33">
        <v>2</v>
      </c>
      <c r="J33" s="1">
        <v>68</v>
      </c>
      <c r="K33" s="1">
        <v>76</v>
      </c>
      <c r="L33" s="1">
        <v>74</v>
      </c>
      <c r="M33" s="1">
        <v>180</v>
      </c>
      <c r="N33" s="1">
        <v>2</v>
      </c>
      <c r="O33" s="1">
        <v>1</v>
      </c>
      <c r="P33" s="1">
        <v>1</v>
      </c>
      <c r="Q33" s="1">
        <v>1</v>
      </c>
    </row>
    <row r="34" spans="1:17" x14ac:dyDescent="0.2">
      <c r="A34">
        <v>68</v>
      </c>
      <c r="B34">
        <v>112</v>
      </c>
      <c r="C34" t="s">
        <v>8</v>
      </c>
      <c r="D34" t="s">
        <v>9</v>
      </c>
      <c r="E34" t="s">
        <v>11</v>
      </c>
      <c r="F34">
        <v>70</v>
      </c>
      <c r="G34">
        <v>125</v>
      </c>
      <c r="H34">
        <v>2</v>
      </c>
      <c r="J34" s="1">
        <v>68</v>
      </c>
      <c r="K34" s="1">
        <v>112</v>
      </c>
      <c r="L34" s="1">
        <v>70</v>
      </c>
      <c r="M34" s="1">
        <v>125</v>
      </c>
      <c r="N34" s="1">
        <v>2</v>
      </c>
      <c r="O34" s="1">
        <v>1</v>
      </c>
      <c r="P34" s="1">
        <v>0</v>
      </c>
      <c r="Q34" s="1">
        <v>0</v>
      </c>
    </row>
    <row r="35" spans="1:17" x14ac:dyDescent="0.2">
      <c r="A35">
        <v>68</v>
      </c>
      <c r="B35">
        <v>66</v>
      </c>
      <c r="C35" t="s">
        <v>9</v>
      </c>
      <c r="D35" t="s">
        <v>8</v>
      </c>
      <c r="E35" t="s">
        <v>10</v>
      </c>
      <c r="F35">
        <v>67</v>
      </c>
      <c r="G35">
        <v>150</v>
      </c>
      <c r="H35">
        <v>2</v>
      </c>
      <c r="J35" s="1">
        <v>68</v>
      </c>
      <c r="K35" s="1">
        <v>66</v>
      </c>
      <c r="L35" s="1">
        <v>67</v>
      </c>
      <c r="M35" s="1">
        <v>150</v>
      </c>
      <c r="N35" s="1">
        <v>2</v>
      </c>
      <c r="O35" s="1">
        <v>0</v>
      </c>
      <c r="P35" s="1">
        <v>1</v>
      </c>
      <c r="Q35" s="1">
        <v>1</v>
      </c>
    </row>
    <row r="36" spans="1:17" x14ac:dyDescent="0.2">
      <c r="A36">
        <v>68</v>
      </c>
      <c r="B36">
        <v>68</v>
      </c>
      <c r="C36" t="s">
        <v>9</v>
      </c>
      <c r="D36" t="s">
        <v>9</v>
      </c>
      <c r="E36" t="s">
        <v>10</v>
      </c>
      <c r="F36">
        <v>71</v>
      </c>
      <c r="G36">
        <v>150</v>
      </c>
      <c r="H36">
        <v>3</v>
      </c>
      <c r="J36" s="1">
        <v>68</v>
      </c>
      <c r="K36" s="1">
        <v>68</v>
      </c>
      <c r="L36" s="1">
        <v>71</v>
      </c>
      <c r="M36" s="1">
        <v>150</v>
      </c>
      <c r="N36" s="1">
        <v>3</v>
      </c>
      <c r="O36" s="1">
        <v>0</v>
      </c>
      <c r="P36" s="1">
        <v>0</v>
      </c>
      <c r="Q36" s="1">
        <v>1</v>
      </c>
    </row>
    <row r="37" spans="1:17" x14ac:dyDescent="0.2">
      <c r="A37">
        <v>68</v>
      </c>
      <c r="B37">
        <v>64</v>
      </c>
      <c r="C37" t="s">
        <v>9</v>
      </c>
      <c r="D37" t="s">
        <v>9</v>
      </c>
      <c r="E37" t="s">
        <v>10</v>
      </c>
      <c r="F37">
        <v>69.5</v>
      </c>
      <c r="G37">
        <v>150</v>
      </c>
      <c r="H37">
        <v>3</v>
      </c>
      <c r="J37" s="1">
        <v>68</v>
      </c>
      <c r="K37" s="1">
        <v>64</v>
      </c>
      <c r="L37" s="1">
        <v>69.5</v>
      </c>
      <c r="M37" s="1">
        <v>150</v>
      </c>
      <c r="N37" s="1">
        <v>3</v>
      </c>
      <c r="O37" s="1">
        <v>0</v>
      </c>
      <c r="P37" s="1">
        <v>0</v>
      </c>
      <c r="Q37" s="1">
        <v>1</v>
      </c>
    </row>
    <row r="38" spans="1:17" x14ac:dyDescent="0.2">
      <c r="A38">
        <v>68</v>
      </c>
      <c r="B38">
        <v>68</v>
      </c>
      <c r="C38" t="s">
        <v>9</v>
      </c>
      <c r="D38" t="s">
        <v>9</v>
      </c>
      <c r="E38" t="s">
        <v>10</v>
      </c>
      <c r="F38">
        <v>72</v>
      </c>
      <c r="G38">
        <v>142</v>
      </c>
      <c r="H38">
        <v>3</v>
      </c>
      <c r="J38" s="1">
        <v>68</v>
      </c>
      <c r="K38" s="1">
        <v>68</v>
      </c>
      <c r="L38" s="1">
        <v>72</v>
      </c>
      <c r="M38" s="1">
        <v>142</v>
      </c>
      <c r="N38" s="1">
        <v>3</v>
      </c>
      <c r="O38" s="1">
        <v>0</v>
      </c>
      <c r="P38" s="1">
        <v>0</v>
      </c>
      <c r="Q38" s="1">
        <v>1</v>
      </c>
    </row>
    <row r="39" spans="1:17" x14ac:dyDescent="0.2">
      <c r="A39">
        <v>68</v>
      </c>
      <c r="B39">
        <v>66</v>
      </c>
      <c r="C39" t="s">
        <v>9</v>
      </c>
      <c r="D39" t="s">
        <v>9</v>
      </c>
      <c r="E39" t="s">
        <v>10</v>
      </c>
      <c r="F39">
        <v>68</v>
      </c>
      <c r="G39">
        <v>155</v>
      </c>
      <c r="H39">
        <v>2</v>
      </c>
      <c r="J39" s="1">
        <v>68</v>
      </c>
      <c r="K39" s="1">
        <v>66</v>
      </c>
      <c r="L39" s="1">
        <v>68</v>
      </c>
      <c r="M39" s="1">
        <v>155</v>
      </c>
      <c r="N39" s="1">
        <v>2</v>
      </c>
      <c r="O39" s="1">
        <v>0</v>
      </c>
      <c r="P39" s="1">
        <v>0</v>
      </c>
      <c r="Q39" s="1">
        <v>1</v>
      </c>
    </row>
    <row r="40" spans="1:17" x14ac:dyDescent="0.2">
      <c r="A40">
        <v>68</v>
      </c>
      <c r="B40">
        <v>68</v>
      </c>
      <c r="C40" t="s">
        <v>9</v>
      </c>
      <c r="D40" t="s">
        <v>9</v>
      </c>
      <c r="E40" t="s">
        <v>11</v>
      </c>
      <c r="F40">
        <v>69</v>
      </c>
      <c r="G40">
        <v>150</v>
      </c>
      <c r="H40">
        <v>2</v>
      </c>
      <c r="J40" s="1">
        <v>68</v>
      </c>
      <c r="K40" s="1">
        <v>68</v>
      </c>
      <c r="L40" s="1">
        <v>69</v>
      </c>
      <c r="M40" s="1">
        <v>150</v>
      </c>
      <c r="N40" s="1">
        <v>2</v>
      </c>
      <c r="O40" s="1">
        <v>0</v>
      </c>
      <c r="P40" s="1">
        <v>0</v>
      </c>
      <c r="Q40" s="1">
        <v>0</v>
      </c>
    </row>
    <row r="41" spans="1:17" x14ac:dyDescent="0.2">
      <c r="A41">
        <v>68</v>
      </c>
      <c r="B41">
        <v>68</v>
      </c>
      <c r="C41" t="s">
        <v>9</v>
      </c>
      <c r="D41" t="s">
        <v>9</v>
      </c>
      <c r="E41" t="s">
        <v>11</v>
      </c>
      <c r="F41">
        <v>62</v>
      </c>
      <c r="G41">
        <v>110</v>
      </c>
      <c r="H41">
        <v>2</v>
      </c>
      <c r="J41" s="1">
        <v>68</v>
      </c>
      <c r="K41" s="1">
        <v>68</v>
      </c>
      <c r="L41" s="1">
        <v>62</v>
      </c>
      <c r="M41" s="1">
        <v>110</v>
      </c>
      <c r="N41" s="1">
        <v>2</v>
      </c>
      <c r="O41" s="1">
        <v>0</v>
      </c>
      <c r="P41" s="1">
        <v>0</v>
      </c>
      <c r="Q41" s="1">
        <v>0</v>
      </c>
    </row>
    <row r="42" spans="1:17" x14ac:dyDescent="0.2">
      <c r="A42">
        <v>70</v>
      </c>
      <c r="B42">
        <v>72</v>
      </c>
      <c r="C42" t="s">
        <v>8</v>
      </c>
      <c r="D42" t="s">
        <v>8</v>
      </c>
      <c r="E42" t="s">
        <v>10</v>
      </c>
      <c r="F42">
        <v>73</v>
      </c>
      <c r="G42">
        <v>170</v>
      </c>
      <c r="H42">
        <v>3</v>
      </c>
      <c r="J42" s="1">
        <v>70</v>
      </c>
      <c r="K42" s="1">
        <v>72</v>
      </c>
      <c r="L42" s="1">
        <v>73</v>
      </c>
      <c r="M42" s="1">
        <v>170</v>
      </c>
      <c r="N42" s="1">
        <v>3</v>
      </c>
      <c r="O42" s="1">
        <v>1</v>
      </c>
      <c r="P42" s="1">
        <v>1</v>
      </c>
      <c r="Q42" s="1">
        <v>1</v>
      </c>
    </row>
    <row r="43" spans="1:17" x14ac:dyDescent="0.2">
      <c r="A43">
        <v>70</v>
      </c>
      <c r="B43">
        <v>106</v>
      </c>
      <c r="C43" t="s">
        <v>8</v>
      </c>
      <c r="D43" t="s">
        <v>9</v>
      </c>
      <c r="E43" t="s">
        <v>10</v>
      </c>
      <c r="F43">
        <v>71</v>
      </c>
      <c r="G43">
        <v>170</v>
      </c>
      <c r="H43">
        <v>2</v>
      </c>
      <c r="J43" s="1">
        <v>70</v>
      </c>
      <c r="K43" s="1">
        <v>106</v>
      </c>
      <c r="L43" s="1">
        <v>71</v>
      </c>
      <c r="M43" s="1">
        <v>170</v>
      </c>
      <c r="N43" s="1">
        <v>2</v>
      </c>
      <c r="O43" s="1">
        <v>1</v>
      </c>
      <c r="P43" s="1">
        <v>0</v>
      </c>
      <c r="Q43" s="1">
        <v>1</v>
      </c>
    </row>
    <row r="44" spans="1:17" x14ac:dyDescent="0.2">
      <c r="A44">
        <v>70</v>
      </c>
      <c r="B44">
        <v>94</v>
      </c>
      <c r="C44" t="s">
        <v>8</v>
      </c>
      <c r="D44" t="s">
        <v>8</v>
      </c>
      <c r="E44" t="s">
        <v>10</v>
      </c>
      <c r="F44">
        <v>75</v>
      </c>
      <c r="G44">
        <v>185</v>
      </c>
      <c r="H44">
        <v>2</v>
      </c>
      <c r="J44" s="1">
        <v>70</v>
      </c>
      <c r="K44" s="1">
        <v>94</v>
      </c>
      <c r="L44" s="1">
        <v>75</v>
      </c>
      <c r="M44" s="1">
        <v>185</v>
      </c>
      <c r="N44" s="1">
        <v>2</v>
      </c>
      <c r="O44" s="1">
        <v>1</v>
      </c>
      <c r="P44" s="1">
        <v>1</v>
      </c>
      <c r="Q44" s="1">
        <v>1</v>
      </c>
    </row>
    <row r="45" spans="1:17" x14ac:dyDescent="0.2">
      <c r="A45">
        <v>70</v>
      </c>
      <c r="B45">
        <v>62</v>
      </c>
      <c r="C45" t="s">
        <v>9</v>
      </c>
      <c r="D45" t="s">
        <v>8</v>
      </c>
      <c r="E45" t="s">
        <v>10</v>
      </c>
      <c r="F45">
        <v>66</v>
      </c>
      <c r="G45">
        <v>130</v>
      </c>
      <c r="H45">
        <v>2</v>
      </c>
      <c r="J45" s="1">
        <v>70</v>
      </c>
      <c r="K45" s="1">
        <v>62</v>
      </c>
      <c r="L45" s="1">
        <v>66</v>
      </c>
      <c r="M45" s="1">
        <v>130</v>
      </c>
      <c r="N45" s="1">
        <v>2</v>
      </c>
      <c r="O45" s="1">
        <v>0</v>
      </c>
      <c r="P45" s="1">
        <v>1</v>
      </c>
      <c r="Q45" s="1">
        <v>1</v>
      </c>
    </row>
    <row r="46" spans="1:17" x14ac:dyDescent="0.2">
      <c r="A46">
        <v>70</v>
      </c>
      <c r="B46">
        <v>70</v>
      </c>
      <c r="C46" t="s">
        <v>9</v>
      </c>
      <c r="D46" t="s">
        <v>9</v>
      </c>
      <c r="E46" t="s">
        <v>10</v>
      </c>
      <c r="F46">
        <v>70</v>
      </c>
      <c r="G46">
        <v>150</v>
      </c>
      <c r="H46">
        <v>2</v>
      </c>
      <c r="J46" s="1">
        <v>70</v>
      </c>
      <c r="K46" s="1">
        <v>70</v>
      </c>
      <c r="L46" s="1">
        <v>70</v>
      </c>
      <c r="M46" s="1">
        <v>150</v>
      </c>
      <c r="N46" s="1">
        <v>2</v>
      </c>
      <c r="O46" s="1">
        <v>0</v>
      </c>
      <c r="P46" s="1">
        <v>0</v>
      </c>
      <c r="Q46" s="1">
        <v>1</v>
      </c>
    </row>
    <row r="47" spans="1:17" x14ac:dyDescent="0.2">
      <c r="A47">
        <v>70</v>
      </c>
      <c r="B47">
        <v>66</v>
      </c>
      <c r="C47" t="s">
        <v>9</v>
      </c>
      <c r="D47" t="s">
        <v>8</v>
      </c>
      <c r="E47" t="s">
        <v>10</v>
      </c>
      <c r="F47">
        <v>75</v>
      </c>
      <c r="G47">
        <v>190</v>
      </c>
      <c r="H47">
        <v>2</v>
      </c>
      <c r="J47" s="1">
        <v>70</v>
      </c>
      <c r="K47" s="1">
        <v>66</v>
      </c>
      <c r="L47" s="1">
        <v>75</v>
      </c>
      <c r="M47" s="1">
        <v>190</v>
      </c>
      <c r="N47" s="1">
        <v>2</v>
      </c>
      <c r="O47" s="1">
        <v>0</v>
      </c>
      <c r="P47" s="1">
        <v>1</v>
      </c>
      <c r="Q47" s="1">
        <v>1</v>
      </c>
    </row>
    <row r="48" spans="1:17" x14ac:dyDescent="0.2">
      <c r="A48">
        <v>72</v>
      </c>
      <c r="B48">
        <v>80</v>
      </c>
      <c r="C48" t="s">
        <v>8</v>
      </c>
      <c r="D48" t="s">
        <v>9</v>
      </c>
      <c r="E48" t="s">
        <v>10</v>
      </c>
      <c r="F48">
        <v>66</v>
      </c>
      <c r="G48">
        <v>135</v>
      </c>
      <c r="H48">
        <v>3</v>
      </c>
      <c r="J48" s="1">
        <v>72</v>
      </c>
      <c r="K48" s="1">
        <v>80</v>
      </c>
      <c r="L48" s="1">
        <v>66</v>
      </c>
      <c r="M48" s="1">
        <v>135</v>
      </c>
      <c r="N48" s="1">
        <v>3</v>
      </c>
      <c r="O48" s="1">
        <v>1</v>
      </c>
      <c r="P48" s="1">
        <v>0</v>
      </c>
      <c r="Q48" s="1">
        <v>1</v>
      </c>
    </row>
    <row r="49" spans="1:17" x14ac:dyDescent="0.2">
      <c r="A49">
        <v>72</v>
      </c>
      <c r="B49">
        <v>74</v>
      </c>
      <c r="C49" t="s">
        <v>9</v>
      </c>
      <c r="D49" t="s">
        <v>8</v>
      </c>
      <c r="E49" t="s">
        <v>10</v>
      </c>
      <c r="F49">
        <v>69</v>
      </c>
      <c r="G49">
        <v>170</v>
      </c>
      <c r="H49">
        <v>2</v>
      </c>
      <c r="J49" s="1">
        <v>72</v>
      </c>
      <c r="K49" s="1">
        <v>74</v>
      </c>
      <c r="L49" s="1">
        <v>69</v>
      </c>
      <c r="M49" s="1">
        <v>170</v>
      </c>
      <c r="N49" s="1">
        <v>2</v>
      </c>
      <c r="O49" s="1">
        <v>0</v>
      </c>
      <c r="P49" s="1">
        <v>1</v>
      </c>
      <c r="Q49" s="1">
        <v>1</v>
      </c>
    </row>
    <row r="50" spans="1:17" x14ac:dyDescent="0.2">
      <c r="A50">
        <v>72</v>
      </c>
      <c r="B50">
        <v>74</v>
      </c>
      <c r="C50" t="s">
        <v>9</v>
      </c>
      <c r="D50" t="s">
        <v>8</v>
      </c>
      <c r="E50" t="s">
        <v>10</v>
      </c>
      <c r="F50">
        <v>68</v>
      </c>
      <c r="G50">
        <v>155</v>
      </c>
      <c r="H50">
        <v>3</v>
      </c>
      <c r="J50" s="1">
        <v>72</v>
      </c>
      <c r="K50" s="1">
        <v>74</v>
      </c>
      <c r="L50" s="1">
        <v>68</v>
      </c>
      <c r="M50" s="1">
        <v>155</v>
      </c>
      <c r="N50" s="1">
        <v>3</v>
      </c>
      <c r="O50" s="1">
        <v>0</v>
      </c>
      <c r="P50" s="1">
        <v>1</v>
      </c>
      <c r="Q50" s="1">
        <v>1</v>
      </c>
    </row>
    <row r="51" spans="1:17" x14ac:dyDescent="0.2">
      <c r="A51">
        <v>72</v>
      </c>
      <c r="B51">
        <v>70</v>
      </c>
      <c r="C51" t="s">
        <v>9</v>
      </c>
      <c r="D51" t="s">
        <v>9</v>
      </c>
      <c r="E51" t="s">
        <v>10</v>
      </c>
      <c r="F51">
        <v>71</v>
      </c>
      <c r="G51">
        <v>140</v>
      </c>
      <c r="H51">
        <v>2</v>
      </c>
      <c r="J51" s="1">
        <v>72</v>
      </c>
      <c r="K51" s="1">
        <v>70</v>
      </c>
      <c r="L51" s="1">
        <v>71</v>
      </c>
      <c r="M51" s="1">
        <v>140</v>
      </c>
      <c r="N51" s="1">
        <v>2</v>
      </c>
      <c r="O51" s="1">
        <v>0</v>
      </c>
      <c r="P51" s="1">
        <v>0</v>
      </c>
      <c r="Q51" s="1">
        <v>1</v>
      </c>
    </row>
    <row r="52" spans="1:17" x14ac:dyDescent="0.2">
      <c r="A52">
        <v>72</v>
      </c>
      <c r="B52">
        <v>70</v>
      </c>
      <c r="C52" t="s">
        <v>9</v>
      </c>
      <c r="D52" t="s">
        <v>9</v>
      </c>
      <c r="E52" t="s">
        <v>11</v>
      </c>
      <c r="F52">
        <v>63</v>
      </c>
      <c r="G52">
        <v>118</v>
      </c>
      <c r="H52">
        <v>2</v>
      </c>
      <c r="J52" s="1">
        <v>72</v>
      </c>
      <c r="K52" s="1">
        <v>70</v>
      </c>
      <c r="L52" s="1">
        <v>63</v>
      </c>
      <c r="M52" s="1">
        <v>118</v>
      </c>
      <c r="N52" s="1">
        <v>2</v>
      </c>
      <c r="O52" s="1">
        <v>0</v>
      </c>
      <c r="P52" s="1">
        <v>0</v>
      </c>
      <c r="Q52" s="1">
        <v>0</v>
      </c>
    </row>
    <row r="53" spans="1:17" x14ac:dyDescent="0.2">
      <c r="A53">
        <v>72</v>
      </c>
      <c r="B53">
        <v>68</v>
      </c>
      <c r="C53" t="s">
        <v>9</v>
      </c>
      <c r="D53" t="s">
        <v>9</v>
      </c>
      <c r="E53" t="s">
        <v>11</v>
      </c>
      <c r="F53">
        <v>68</v>
      </c>
      <c r="G53">
        <v>110</v>
      </c>
      <c r="H53">
        <v>2</v>
      </c>
      <c r="J53" s="1">
        <v>72</v>
      </c>
      <c r="K53" s="1">
        <v>68</v>
      </c>
      <c r="L53" s="1">
        <v>68</v>
      </c>
      <c r="M53" s="1">
        <v>110</v>
      </c>
      <c r="N53" s="1">
        <v>2</v>
      </c>
      <c r="O53" s="1">
        <v>0</v>
      </c>
      <c r="P53" s="1">
        <v>0</v>
      </c>
      <c r="Q53" s="1">
        <v>0</v>
      </c>
    </row>
    <row r="54" spans="1:17" x14ac:dyDescent="0.2">
      <c r="A54">
        <v>74</v>
      </c>
      <c r="B54">
        <v>84</v>
      </c>
      <c r="C54" t="s">
        <v>8</v>
      </c>
      <c r="D54" t="s">
        <v>9</v>
      </c>
      <c r="E54" t="s">
        <v>10</v>
      </c>
      <c r="F54">
        <v>73</v>
      </c>
      <c r="G54">
        <v>165</v>
      </c>
      <c r="H54">
        <v>1</v>
      </c>
      <c r="J54" s="1">
        <v>74</v>
      </c>
      <c r="K54" s="1">
        <v>84</v>
      </c>
      <c r="L54" s="1">
        <v>73</v>
      </c>
      <c r="M54" s="1">
        <v>165</v>
      </c>
      <c r="N54" s="1">
        <v>1</v>
      </c>
      <c r="O54" s="1">
        <v>1</v>
      </c>
      <c r="P54" s="1">
        <v>0</v>
      </c>
      <c r="Q54" s="1">
        <v>1</v>
      </c>
    </row>
    <row r="55" spans="1:17" x14ac:dyDescent="0.2">
      <c r="A55">
        <v>74</v>
      </c>
      <c r="B55">
        <v>76</v>
      </c>
      <c r="C55" t="s">
        <v>8</v>
      </c>
      <c r="D55" t="s">
        <v>9</v>
      </c>
      <c r="E55" t="s">
        <v>10</v>
      </c>
      <c r="F55">
        <v>70</v>
      </c>
      <c r="G55">
        <v>157</v>
      </c>
      <c r="H55">
        <v>2</v>
      </c>
      <c r="J55" s="1">
        <v>74</v>
      </c>
      <c r="K55" s="1">
        <v>76</v>
      </c>
      <c r="L55" s="1">
        <v>70</v>
      </c>
      <c r="M55" s="1">
        <v>157</v>
      </c>
      <c r="N55" s="1">
        <v>2</v>
      </c>
      <c r="O55" s="1">
        <v>1</v>
      </c>
      <c r="P55" s="1">
        <v>0</v>
      </c>
      <c r="Q55" s="1">
        <v>1</v>
      </c>
    </row>
    <row r="56" spans="1:17" x14ac:dyDescent="0.2">
      <c r="A56">
        <v>74</v>
      </c>
      <c r="B56">
        <v>70</v>
      </c>
      <c r="C56" t="s">
        <v>9</v>
      </c>
      <c r="D56" t="s">
        <v>9</v>
      </c>
      <c r="E56" t="s">
        <v>10</v>
      </c>
      <c r="F56">
        <v>73</v>
      </c>
      <c r="G56">
        <v>155</v>
      </c>
      <c r="H56">
        <v>3</v>
      </c>
      <c r="J56" s="1">
        <v>74</v>
      </c>
      <c r="K56" s="1">
        <v>70</v>
      </c>
      <c r="L56" s="1">
        <v>73</v>
      </c>
      <c r="M56" s="1">
        <v>155</v>
      </c>
      <c r="N56" s="1">
        <v>3</v>
      </c>
      <c r="O56" s="1">
        <v>0</v>
      </c>
      <c r="P56" s="1">
        <v>0</v>
      </c>
      <c r="Q56" s="1">
        <v>1</v>
      </c>
    </row>
    <row r="57" spans="1:17" x14ac:dyDescent="0.2">
      <c r="A57">
        <v>74</v>
      </c>
      <c r="B57">
        <v>74</v>
      </c>
      <c r="C57" t="s">
        <v>9</v>
      </c>
      <c r="D57" t="s">
        <v>9</v>
      </c>
      <c r="E57" t="s">
        <v>10</v>
      </c>
      <c r="F57">
        <v>73</v>
      </c>
      <c r="G57">
        <v>155</v>
      </c>
      <c r="H57">
        <v>2</v>
      </c>
      <c r="J57" s="1">
        <v>74</v>
      </c>
      <c r="K57" s="1">
        <v>74</v>
      </c>
      <c r="L57" s="1">
        <v>73</v>
      </c>
      <c r="M57" s="1">
        <v>155</v>
      </c>
      <c r="N57" s="1">
        <v>2</v>
      </c>
      <c r="O57" s="1">
        <v>0</v>
      </c>
      <c r="P57" s="1">
        <v>0</v>
      </c>
      <c r="Q57" s="1">
        <v>1</v>
      </c>
    </row>
    <row r="58" spans="1:17" x14ac:dyDescent="0.2">
      <c r="A58">
        <v>74</v>
      </c>
      <c r="B58">
        <v>76</v>
      </c>
      <c r="C58" t="s">
        <v>9</v>
      </c>
      <c r="D58" t="s">
        <v>9</v>
      </c>
      <c r="E58" t="s">
        <v>10</v>
      </c>
      <c r="F58">
        <v>67</v>
      </c>
      <c r="G58">
        <v>123</v>
      </c>
      <c r="H58">
        <v>2</v>
      </c>
      <c r="J58" s="1">
        <v>74</v>
      </c>
      <c r="K58" s="1">
        <v>76</v>
      </c>
      <c r="L58" s="1">
        <v>67</v>
      </c>
      <c r="M58" s="1">
        <v>123</v>
      </c>
      <c r="N58" s="1">
        <v>2</v>
      </c>
      <c r="O58" s="1">
        <v>0</v>
      </c>
      <c r="P58" s="1">
        <v>0</v>
      </c>
      <c r="Q58" s="1">
        <v>1</v>
      </c>
    </row>
    <row r="59" spans="1:17" x14ac:dyDescent="0.2">
      <c r="A59">
        <v>76</v>
      </c>
      <c r="B59">
        <v>118</v>
      </c>
      <c r="C59" t="s">
        <v>8</v>
      </c>
      <c r="D59" t="s">
        <v>9</v>
      </c>
      <c r="E59" t="s">
        <v>10</v>
      </c>
      <c r="F59">
        <v>71</v>
      </c>
      <c r="G59">
        <v>138</v>
      </c>
      <c r="H59">
        <v>2</v>
      </c>
      <c r="J59" s="1">
        <v>76</v>
      </c>
      <c r="K59" s="1">
        <v>118</v>
      </c>
      <c r="L59" s="1">
        <v>71</v>
      </c>
      <c r="M59" s="1">
        <v>138</v>
      </c>
      <c r="N59" s="1">
        <v>2</v>
      </c>
      <c r="O59" s="1">
        <v>1</v>
      </c>
      <c r="P59" s="1">
        <v>0</v>
      </c>
      <c r="Q59" s="1">
        <v>1</v>
      </c>
    </row>
    <row r="60" spans="1:17" x14ac:dyDescent="0.2">
      <c r="A60">
        <v>76</v>
      </c>
      <c r="B60">
        <v>76</v>
      </c>
      <c r="C60" t="s">
        <v>9</v>
      </c>
      <c r="D60" t="s">
        <v>9</v>
      </c>
      <c r="E60" t="s">
        <v>10</v>
      </c>
      <c r="F60">
        <v>72</v>
      </c>
      <c r="G60">
        <v>215</v>
      </c>
      <c r="H60">
        <v>2</v>
      </c>
      <c r="J60" s="1">
        <v>76</v>
      </c>
      <c r="K60" s="1">
        <v>76</v>
      </c>
      <c r="L60" s="1">
        <v>72</v>
      </c>
      <c r="M60" s="1">
        <v>215</v>
      </c>
      <c r="N60" s="1">
        <v>2</v>
      </c>
      <c r="O60" s="1">
        <v>0</v>
      </c>
      <c r="P60" s="1">
        <v>0</v>
      </c>
      <c r="Q60" s="1">
        <v>1</v>
      </c>
    </row>
    <row r="61" spans="1:17" x14ac:dyDescent="0.2">
      <c r="A61">
        <v>76</v>
      </c>
      <c r="B61">
        <v>76</v>
      </c>
      <c r="C61" t="s">
        <v>9</v>
      </c>
      <c r="D61" t="s">
        <v>9</v>
      </c>
      <c r="E61" t="s">
        <v>10</v>
      </c>
      <c r="F61">
        <v>74</v>
      </c>
      <c r="G61">
        <v>148</v>
      </c>
      <c r="H61">
        <v>3</v>
      </c>
      <c r="J61" s="1">
        <v>76</v>
      </c>
      <c r="K61" s="1">
        <v>76</v>
      </c>
      <c r="L61" s="1">
        <v>74</v>
      </c>
      <c r="M61" s="1">
        <v>148</v>
      </c>
      <c r="N61" s="1">
        <v>3</v>
      </c>
      <c r="O61" s="1">
        <v>0</v>
      </c>
      <c r="P61" s="1">
        <v>0</v>
      </c>
      <c r="Q61" s="1">
        <v>1</v>
      </c>
    </row>
    <row r="62" spans="1:17" x14ac:dyDescent="0.2">
      <c r="A62">
        <v>76</v>
      </c>
      <c r="B62">
        <v>76</v>
      </c>
      <c r="C62" t="s">
        <v>9</v>
      </c>
      <c r="D62" t="s">
        <v>8</v>
      </c>
      <c r="E62" t="s">
        <v>11</v>
      </c>
      <c r="F62">
        <v>62</v>
      </c>
      <c r="G62">
        <v>108</v>
      </c>
      <c r="H62">
        <v>3</v>
      </c>
      <c r="J62" s="1">
        <v>76</v>
      </c>
      <c r="K62" s="1">
        <v>76</v>
      </c>
      <c r="L62" s="1">
        <v>62</v>
      </c>
      <c r="M62" s="1">
        <v>108</v>
      </c>
      <c r="N62" s="1">
        <v>3</v>
      </c>
      <c r="O62" s="1">
        <v>0</v>
      </c>
      <c r="P62" s="1">
        <v>1</v>
      </c>
      <c r="Q62" s="1">
        <v>0</v>
      </c>
    </row>
    <row r="63" spans="1:17" x14ac:dyDescent="0.2">
      <c r="A63">
        <v>76</v>
      </c>
      <c r="B63">
        <v>76</v>
      </c>
      <c r="C63" t="s">
        <v>9</v>
      </c>
      <c r="D63" t="s">
        <v>9</v>
      </c>
      <c r="E63" t="s">
        <v>11</v>
      </c>
      <c r="F63">
        <v>61.75</v>
      </c>
      <c r="G63">
        <v>108</v>
      </c>
      <c r="H63">
        <v>2</v>
      </c>
      <c r="J63" s="1">
        <v>76</v>
      </c>
      <c r="K63" s="1">
        <v>76</v>
      </c>
      <c r="L63" s="1">
        <v>61.75</v>
      </c>
      <c r="M63" s="1">
        <v>108</v>
      </c>
      <c r="N63" s="1">
        <v>2</v>
      </c>
      <c r="O63" s="1">
        <v>0</v>
      </c>
      <c r="P63" s="1">
        <v>0</v>
      </c>
      <c r="Q63" s="1">
        <v>0</v>
      </c>
    </row>
    <row r="64" spans="1:17" x14ac:dyDescent="0.2">
      <c r="A64">
        <v>78</v>
      </c>
      <c r="B64">
        <v>104</v>
      </c>
      <c r="C64" t="s">
        <v>8</v>
      </c>
      <c r="D64" t="s">
        <v>8</v>
      </c>
      <c r="E64" t="s">
        <v>11</v>
      </c>
      <c r="F64">
        <v>68</v>
      </c>
      <c r="G64">
        <v>130</v>
      </c>
      <c r="H64">
        <v>2</v>
      </c>
      <c r="J64" s="1">
        <v>78</v>
      </c>
      <c r="K64" s="1">
        <v>104</v>
      </c>
      <c r="L64" s="1">
        <v>68</v>
      </c>
      <c r="M64" s="1">
        <v>130</v>
      </c>
      <c r="N64" s="1">
        <v>2</v>
      </c>
      <c r="O64" s="1">
        <v>1</v>
      </c>
      <c r="P64" s="1">
        <v>1</v>
      </c>
      <c r="Q64" s="1">
        <v>0</v>
      </c>
    </row>
    <row r="65" spans="1:17" x14ac:dyDescent="0.2">
      <c r="A65">
        <v>78</v>
      </c>
      <c r="B65">
        <v>118</v>
      </c>
      <c r="C65" t="s">
        <v>8</v>
      </c>
      <c r="D65" t="s">
        <v>9</v>
      </c>
      <c r="E65" t="s">
        <v>11</v>
      </c>
      <c r="F65">
        <v>69</v>
      </c>
      <c r="G65">
        <v>145</v>
      </c>
      <c r="H65">
        <v>2</v>
      </c>
      <c r="J65" s="1">
        <v>78</v>
      </c>
      <c r="K65" s="1">
        <v>118</v>
      </c>
      <c r="L65" s="1">
        <v>69</v>
      </c>
      <c r="M65" s="1">
        <v>145</v>
      </c>
      <c r="N65" s="1">
        <v>2</v>
      </c>
      <c r="O65" s="1">
        <v>1</v>
      </c>
      <c r="P65" s="1">
        <v>0</v>
      </c>
      <c r="Q65" s="1">
        <v>0</v>
      </c>
    </row>
    <row r="66" spans="1:17" x14ac:dyDescent="0.2">
      <c r="A66">
        <v>78</v>
      </c>
      <c r="B66">
        <v>76</v>
      </c>
      <c r="C66" t="s">
        <v>9</v>
      </c>
      <c r="D66" t="s">
        <v>9</v>
      </c>
      <c r="E66" t="s">
        <v>10</v>
      </c>
      <c r="F66">
        <v>72</v>
      </c>
      <c r="G66">
        <v>180</v>
      </c>
      <c r="H66">
        <v>3</v>
      </c>
      <c r="J66" s="1">
        <v>78</v>
      </c>
      <c r="K66" s="1">
        <v>76</v>
      </c>
      <c r="L66" s="1">
        <v>72</v>
      </c>
      <c r="M66" s="1">
        <v>180</v>
      </c>
      <c r="N66" s="1">
        <v>3</v>
      </c>
      <c r="O66" s="1">
        <v>0</v>
      </c>
      <c r="P66" s="1">
        <v>0</v>
      </c>
      <c r="Q66" s="1">
        <v>1</v>
      </c>
    </row>
    <row r="67" spans="1:17" x14ac:dyDescent="0.2">
      <c r="A67">
        <v>78</v>
      </c>
      <c r="B67">
        <v>78</v>
      </c>
      <c r="C67" t="s">
        <v>9</v>
      </c>
      <c r="D67" t="s">
        <v>9</v>
      </c>
      <c r="E67" t="s">
        <v>11</v>
      </c>
      <c r="F67">
        <v>67</v>
      </c>
      <c r="G67">
        <v>115</v>
      </c>
      <c r="H67">
        <v>2</v>
      </c>
      <c r="J67" s="1">
        <v>78</v>
      </c>
      <c r="K67" s="1">
        <v>78</v>
      </c>
      <c r="L67" s="1">
        <v>67</v>
      </c>
      <c r="M67" s="1">
        <v>115</v>
      </c>
      <c r="N67" s="1">
        <v>2</v>
      </c>
      <c r="O67" s="1">
        <v>0</v>
      </c>
      <c r="P67" s="1">
        <v>0</v>
      </c>
      <c r="Q67" s="1">
        <v>0</v>
      </c>
    </row>
    <row r="68" spans="1:17" x14ac:dyDescent="0.2">
      <c r="A68">
        <v>78</v>
      </c>
      <c r="B68">
        <v>80</v>
      </c>
      <c r="C68" t="s">
        <v>9</v>
      </c>
      <c r="D68" t="s">
        <v>9</v>
      </c>
      <c r="E68" t="s">
        <v>11</v>
      </c>
      <c r="F68">
        <v>68</v>
      </c>
      <c r="G68">
        <v>133</v>
      </c>
      <c r="H68">
        <v>1</v>
      </c>
      <c r="J68" s="1">
        <v>78</v>
      </c>
      <c r="K68" s="1">
        <v>80</v>
      </c>
      <c r="L68" s="1">
        <v>68</v>
      </c>
      <c r="M68" s="1">
        <v>133</v>
      </c>
      <c r="N68" s="1">
        <v>1</v>
      </c>
      <c r="O68" s="1">
        <v>0</v>
      </c>
      <c r="P68" s="1">
        <v>0</v>
      </c>
      <c r="Q68" s="1">
        <v>0</v>
      </c>
    </row>
    <row r="69" spans="1:17" x14ac:dyDescent="0.2">
      <c r="A69">
        <v>80</v>
      </c>
      <c r="B69">
        <v>96</v>
      </c>
      <c r="C69" t="s">
        <v>8</v>
      </c>
      <c r="D69" t="s">
        <v>9</v>
      </c>
      <c r="E69" t="s">
        <v>10</v>
      </c>
      <c r="F69">
        <v>72</v>
      </c>
      <c r="G69">
        <v>155</v>
      </c>
      <c r="H69">
        <v>2</v>
      </c>
      <c r="J69" s="1">
        <v>80</v>
      </c>
      <c r="K69" s="1">
        <v>96</v>
      </c>
      <c r="L69" s="1">
        <v>72</v>
      </c>
      <c r="M69" s="1">
        <v>155</v>
      </c>
      <c r="N69" s="1">
        <v>2</v>
      </c>
      <c r="O69" s="1">
        <v>1</v>
      </c>
      <c r="P69" s="1">
        <v>0</v>
      </c>
      <c r="Q69" s="1">
        <v>1</v>
      </c>
    </row>
    <row r="70" spans="1:17" x14ac:dyDescent="0.2">
      <c r="A70">
        <v>80</v>
      </c>
      <c r="B70">
        <v>128</v>
      </c>
      <c r="C70" t="s">
        <v>8</v>
      </c>
      <c r="D70" t="s">
        <v>9</v>
      </c>
      <c r="E70" t="s">
        <v>11</v>
      </c>
      <c r="F70">
        <v>68</v>
      </c>
      <c r="G70">
        <v>125</v>
      </c>
      <c r="H70">
        <v>2</v>
      </c>
      <c r="J70" s="1">
        <v>80</v>
      </c>
      <c r="K70" s="1">
        <v>128</v>
      </c>
      <c r="L70" s="1">
        <v>68</v>
      </c>
      <c r="M70" s="1">
        <v>125</v>
      </c>
      <c r="N70" s="1">
        <v>2</v>
      </c>
      <c r="O70" s="1">
        <v>1</v>
      </c>
      <c r="P70" s="1">
        <v>0</v>
      </c>
      <c r="Q70" s="1">
        <v>0</v>
      </c>
    </row>
    <row r="71" spans="1:17" x14ac:dyDescent="0.2">
      <c r="A71">
        <v>80</v>
      </c>
      <c r="B71">
        <v>74</v>
      </c>
      <c r="C71" t="s">
        <v>9</v>
      </c>
      <c r="D71" t="s">
        <v>9</v>
      </c>
      <c r="E71" t="s">
        <v>11</v>
      </c>
      <c r="F71">
        <v>64</v>
      </c>
      <c r="G71">
        <v>102</v>
      </c>
      <c r="H71">
        <v>2</v>
      </c>
      <c r="J71" s="1">
        <v>80</v>
      </c>
      <c r="K71" s="1">
        <v>74</v>
      </c>
      <c r="L71" s="1">
        <v>64</v>
      </c>
      <c r="M71" s="1">
        <v>102</v>
      </c>
      <c r="N71" s="1">
        <v>2</v>
      </c>
      <c r="O71" s="1">
        <v>0</v>
      </c>
      <c r="P71" s="1">
        <v>0</v>
      </c>
      <c r="Q71" s="1">
        <v>0</v>
      </c>
    </row>
    <row r="72" spans="1:17" x14ac:dyDescent="0.2">
      <c r="A72">
        <v>82</v>
      </c>
      <c r="B72">
        <v>100</v>
      </c>
      <c r="C72" t="s">
        <v>8</v>
      </c>
      <c r="D72" t="s">
        <v>9</v>
      </c>
      <c r="E72" t="s">
        <v>11</v>
      </c>
      <c r="F72">
        <v>68</v>
      </c>
      <c r="G72">
        <v>138</v>
      </c>
      <c r="H72">
        <v>2</v>
      </c>
      <c r="J72" s="1">
        <v>82</v>
      </c>
      <c r="K72" s="1">
        <v>100</v>
      </c>
      <c r="L72" s="1">
        <v>68</v>
      </c>
      <c r="M72" s="1">
        <v>138</v>
      </c>
      <c r="N72" s="1">
        <v>2</v>
      </c>
      <c r="O72" s="1">
        <v>1</v>
      </c>
      <c r="P72" s="1">
        <v>0</v>
      </c>
      <c r="Q72" s="1">
        <v>0</v>
      </c>
    </row>
    <row r="73" spans="1:17" x14ac:dyDescent="0.2">
      <c r="A73">
        <v>82</v>
      </c>
      <c r="B73">
        <v>84</v>
      </c>
      <c r="C73" t="s">
        <v>9</v>
      </c>
      <c r="D73" t="s">
        <v>8</v>
      </c>
      <c r="E73" t="s">
        <v>10</v>
      </c>
      <c r="F73">
        <v>73</v>
      </c>
      <c r="G73">
        <v>180</v>
      </c>
      <c r="H73">
        <v>2</v>
      </c>
      <c r="J73" s="1">
        <v>82</v>
      </c>
      <c r="K73" s="1">
        <v>84</v>
      </c>
      <c r="L73" s="1">
        <v>73</v>
      </c>
      <c r="M73" s="1">
        <v>180</v>
      </c>
      <c r="N73" s="1">
        <v>2</v>
      </c>
      <c r="O73" s="1">
        <v>0</v>
      </c>
      <c r="P73" s="1">
        <v>1</v>
      </c>
      <c r="Q73" s="1">
        <v>1</v>
      </c>
    </row>
    <row r="74" spans="1:17" x14ac:dyDescent="0.2">
      <c r="A74">
        <v>82</v>
      </c>
      <c r="B74">
        <v>80</v>
      </c>
      <c r="C74" t="s">
        <v>9</v>
      </c>
      <c r="D74" t="s">
        <v>9</v>
      </c>
      <c r="E74" t="s">
        <v>11</v>
      </c>
      <c r="F74">
        <v>63</v>
      </c>
      <c r="G74">
        <v>116</v>
      </c>
      <c r="H74">
        <v>1</v>
      </c>
      <c r="J74" s="1">
        <v>82</v>
      </c>
      <c r="K74" s="1">
        <v>80</v>
      </c>
      <c r="L74" s="1">
        <v>63</v>
      </c>
      <c r="M74" s="1">
        <v>116</v>
      </c>
      <c r="N74" s="1">
        <v>1</v>
      </c>
      <c r="O74" s="1">
        <v>0</v>
      </c>
      <c r="P74" s="1">
        <v>0</v>
      </c>
      <c r="Q74" s="1">
        <v>0</v>
      </c>
    </row>
    <row r="75" spans="1:17" x14ac:dyDescent="0.2">
      <c r="A75">
        <v>84</v>
      </c>
      <c r="B75">
        <v>84</v>
      </c>
      <c r="C75" t="s">
        <v>8</v>
      </c>
      <c r="D75" t="s">
        <v>9</v>
      </c>
      <c r="E75" t="s">
        <v>10</v>
      </c>
      <c r="F75">
        <v>72</v>
      </c>
      <c r="G75">
        <v>150</v>
      </c>
      <c r="H75">
        <v>3</v>
      </c>
      <c r="J75" s="1">
        <v>84</v>
      </c>
      <c r="K75" s="1">
        <v>84</v>
      </c>
      <c r="L75" s="1">
        <v>72</v>
      </c>
      <c r="M75" s="1">
        <v>150</v>
      </c>
      <c r="N75" s="1">
        <v>3</v>
      </c>
      <c r="O75" s="1">
        <v>1</v>
      </c>
      <c r="P75" s="1">
        <v>0</v>
      </c>
      <c r="Q75" s="1">
        <v>1</v>
      </c>
    </row>
    <row r="76" spans="1:17" x14ac:dyDescent="0.2">
      <c r="A76">
        <v>84</v>
      </c>
      <c r="B76">
        <v>84</v>
      </c>
      <c r="C76" t="s">
        <v>9</v>
      </c>
      <c r="D76" t="s">
        <v>9</v>
      </c>
      <c r="E76" t="s">
        <v>10</v>
      </c>
      <c r="F76">
        <v>69</v>
      </c>
      <c r="G76">
        <v>136</v>
      </c>
      <c r="H76">
        <v>2</v>
      </c>
      <c r="J76" s="1">
        <v>84</v>
      </c>
      <c r="K76" s="1">
        <v>84</v>
      </c>
      <c r="L76" s="1">
        <v>69</v>
      </c>
      <c r="M76" s="1">
        <v>136</v>
      </c>
      <c r="N76" s="1">
        <v>2</v>
      </c>
      <c r="O76" s="1">
        <v>0</v>
      </c>
      <c r="P76" s="1">
        <v>0</v>
      </c>
      <c r="Q76" s="1">
        <v>1</v>
      </c>
    </row>
    <row r="77" spans="1:17" x14ac:dyDescent="0.2">
      <c r="A77">
        <v>84</v>
      </c>
      <c r="B77">
        <v>84</v>
      </c>
      <c r="C77" t="s">
        <v>9</v>
      </c>
      <c r="D77" t="s">
        <v>9</v>
      </c>
      <c r="E77" t="s">
        <v>11</v>
      </c>
      <c r="F77">
        <v>66</v>
      </c>
      <c r="G77">
        <v>130</v>
      </c>
      <c r="H77">
        <v>2</v>
      </c>
      <c r="J77" s="1">
        <v>84</v>
      </c>
      <c r="K77" s="1">
        <v>84</v>
      </c>
      <c r="L77" s="1">
        <v>66</v>
      </c>
      <c r="M77" s="1">
        <v>130</v>
      </c>
      <c r="N77" s="1">
        <v>2</v>
      </c>
      <c r="O77" s="1">
        <v>0</v>
      </c>
      <c r="P77" s="1">
        <v>0</v>
      </c>
      <c r="Q77" s="1">
        <v>0</v>
      </c>
    </row>
    <row r="78" spans="1:17" x14ac:dyDescent="0.2">
      <c r="A78">
        <v>84</v>
      </c>
      <c r="B78">
        <v>80</v>
      </c>
      <c r="C78" t="s">
        <v>9</v>
      </c>
      <c r="D78" t="s">
        <v>9</v>
      </c>
      <c r="E78" t="s">
        <v>11</v>
      </c>
      <c r="F78">
        <v>65</v>
      </c>
      <c r="G78">
        <v>118</v>
      </c>
      <c r="H78">
        <v>1</v>
      </c>
      <c r="J78" s="1">
        <v>84</v>
      </c>
      <c r="K78" s="1">
        <v>80</v>
      </c>
      <c r="L78" s="1">
        <v>65</v>
      </c>
      <c r="M78" s="1">
        <v>118</v>
      </c>
      <c r="N78" s="1">
        <v>1</v>
      </c>
      <c r="O78" s="1">
        <v>0</v>
      </c>
      <c r="P78" s="1">
        <v>0</v>
      </c>
      <c r="Q78" s="1">
        <v>0</v>
      </c>
    </row>
    <row r="79" spans="1:17" x14ac:dyDescent="0.2">
      <c r="A79">
        <v>86</v>
      </c>
      <c r="B79">
        <v>84</v>
      </c>
      <c r="C79" t="s">
        <v>9</v>
      </c>
      <c r="D79" t="s">
        <v>9</v>
      </c>
      <c r="E79" t="s">
        <v>11</v>
      </c>
      <c r="F79">
        <v>67</v>
      </c>
      <c r="G79">
        <v>150</v>
      </c>
      <c r="H79">
        <v>3</v>
      </c>
      <c r="J79" s="1">
        <v>86</v>
      </c>
      <c r="K79" s="1">
        <v>84</v>
      </c>
      <c r="L79" s="1">
        <v>67</v>
      </c>
      <c r="M79" s="1">
        <v>150</v>
      </c>
      <c r="N79" s="1">
        <v>3</v>
      </c>
      <c r="O79" s="1">
        <v>0</v>
      </c>
      <c r="P79" s="1">
        <v>0</v>
      </c>
      <c r="Q79" s="1">
        <v>0</v>
      </c>
    </row>
    <row r="80" spans="1:17" x14ac:dyDescent="0.2">
      <c r="A80">
        <v>87</v>
      </c>
      <c r="B80">
        <v>84</v>
      </c>
      <c r="C80" t="s">
        <v>9</v>
      </c>
      <c r="D80" t="s">
        <v>9</v>
      </c>
      <c r="E80" t="s">
        <v>11</v>
      </c>
      <c r="F80">
        <v>63</v>
      </c>
      <c r="G80">
        <v>95</v>
      </c>
      <c r="H80">
        <v>3</v>
      </c>
      <c r="J80" s="1">
        <v>87</v>
      </c>
      <c r="K80" s="1">
        <v>84</v>
      </c>
      <c r="L80" s="1">
        <v>63</v>
      </c>
      <c r="M80" s="1">
        <v>95</v>
      </c>
      <c r="N80" s="1">
        <v>3</v>
      </c>
      <c r="O80" s="1">
        <v>0</v>
      </c>
      <c r="P80" s="1">
        <v>0</v>
      </c>
      <c r="Q80" s="1">
        <v>0</v>
      </c>
    </row>
    <row r="81" spans="1:17" x14ac:dyDescent="0.2">
      <c r="A81">
        <v>88</v>
      </c>
      <c r="B81">
        <v>110</v>
      </c>
      <c r="C81" t="s">
        <v>8</v>
      </c>
      <c r="D81" t="s">
        <v>8</v>
      </c>
      <c r="E81" t="s">
        <v>11</v>
      </c>
      <c r="F81">
        <v>69</v>
      </c>
      <c r="G81">
        <v>150</v>
      </c>
      <c r="H81">
        <v>2</v>
      </c>
      <c r="J81" s="1">
        <v>88</v>
      </c>
      <c r="K81" s="1">
        <v>110</v>
      </c>
      <c r="L81" s="1">
        <v>69</v>
      </c>
      <c r="M81" s="1">
        <v>150</v>
      </c>
      <c r="N81" s="1">
        <v>2</v>
      </c>
      <c r="O81" s="1">
        <v>1</v>
      </c>
      <c r="P81" s="1">
        <v>1</v>
      </c>
      <c r="Q81" s="1">
        <v>0</v>
      </c>
    </row>
    <row r="82" spans="1:17" x14ac:dyDescent="0.2">
      <c r="A82">
        <v>88</v>
      </c>
      <c r="B82">
        <v>84</v>
      </c>
      <c r="C82" t="s">
        <v>9</v>
      </c>
      <c r="D82" t="s">
        <v>9</v>
      </c>
      <c r="E82" t="s">
        <v>10</v>
      </c>
      <c r="F82">
        <v>73.5</v>
      </c>
      <c r="G82">
        <v>155</v>
      </c>
      <c r="H82">
        <v>2</v>
      </c>
      <c r="J82" s="1">
        <v>88</v>
      </c>
      <c r="K82" s="1">
        <v>84</v>
      </c>
      <c r="L82" s="1">
        <v>73.5</v>
      </c>
      <c r="M82" s="1">
        <v>155</v>
      </c>
      <c r="N82" s="1">
        <v>2</v>
      </c>
      <c r="O82" s="1">
        <v>0</v>
      </c>
      <c r="P82" s="1">
        <v>0</v>
      </c>
      <c r="Q82" s="1">
        <v>1</v>
      </c>
    </row>
    <row r="83" spans="1:17" x14ac:dyDescent="0.2">
      <c r="A83">
        <v>88</v>
      </c>
      <c r="B83">
        <v>74</v>
      </c>
      <c r="C83" t="s">
        <v>9</v>
      </c>
      <c r="D83" t="s">
        <v>8</v>
      </c>
      <c r="E83" t="s">
        <v>11</v>
      </c>
      <c r="F83">
        <v>65</v>
      </c>
      <c r="G83">
        <v>135</v>
      </c>
      <c r="H83">
        <v>2</v>
      </c>
      <c r="J83" s="1">
        <v>88</v>
      </c>
      <c r="K83" s="1">
        <v>74</v>
      </c>
      <c r="L83" s="1">
        <v>65</v>
      </c>
      <c r="M83" s="1">
        <v>135</v>
      </c>
      <c r="N83" s="1">
        <v>2</v>
      </c>
      <c r="O83" s="1">
        <v>0</v>
      </c>
      <c r="P83" s="1">
        <v>1</v>
      </c>
      <c r="Q83" s="1">
        <v>0</v>
      </c>
    </row>
    <row r="84" spans="1:17" x14ac:dyDescent="0.2">
      <c r="A84">
        <v>90</v>
      </c>
      <c r="B84">
        <v>94</v>
      </c>
      <c r="C84" t="s">
        <v>8</v>
      </c>
      <c r="D84" t="s">
        <v>8</v>
      </c>
      <c r="E84" t="s">
        <v>10</v>
      </c>
      <c r="F84">
        <v>74</v>
      </c>
      <c r="G84">
        <v>160</v>
      </c>
      <c r="H84">
        <v>1</v>
      </c>
      <c r="J84" s="1">
        <v>90</v>
      </c>
      <c r="K84" s="1">
        <v>94</v>
      </c>
      <c r="L84" s="1">
        <v>74</v>
      </c>
      <c r="M84" s="1">
        <v>160</v>
      </c>
      <c r="N84" s="1">
        <v>1</v>
      </c>
      <c r="O84" s="1">
        <v>1</v>
      </c>
      <c r="P84" s="1">
        <v>1</v>
      </c>
      <c r="Q84" s="1">
        <v>1</v>
      </c>
    </row>
    <row r="85" spans="1:17" x14ac:dyDescent="0.2">
      <c r="A85">
        <v>90</v>
      </c>
      <c r="B85">
        <v>88</v>
      </c>
      <c r="C85" t="s">
        <v>9</v>
      </c>
      <c r="D85" t="s">
        <v>8</v>
      </c>
      <c r="E85" t="s">
        <v>10</v>
      </c>
      <c r="F85">
        <v>67</v>
      </c>
      <c r="G85">
        <v>140</v>
      </c>
      <c r="H85">
        <v>2</v>
      </c>
      <c r="J85" s="1">
        <v>90</v>
      </c>
      <c r="K85" s="1">
        <v>88</v>
      </c>
      <c r="L85" s="1">
        <v>67</v>
      </c>
      <c r="M85" s="1">
        <v>140</v>
      </c>
      <c r="N85" s="1">
        <v>2</v>
      </c>
      <c r="O85" s="1">
        <v>0</v>
      </c>
      <c r="P85" s="1">
        <v>1</v>
      </c>
      <c r="Q85" s="1">
        <v>1</v>
      </c>
    </row>
    <row r="86" spans="1:17" x14ac:dyDescent="0.2">
      <c r="A86">
        <v>90</v>
      </c>
      <c r="B86">
        <v>90</v>
      </c>
      <c r="C86" t="s">
        <v>9</v>
      </c>
      <c r="D86" t="s">
        <v>9</v>
      </c>
      <c r="E86" t="s">
        <v>10</v>
      </c>
      <c r="F86">
        <v>68</v>
      </c>
      <c r="G86">
        <v>145</v>
      </c>
      <c r="H86">
        <v>1</v>
      </c>
      <c r="J86" s="1">
        <v>90</v>
      </c>
      <c r="K86" s="1">
        <v>90</v>
      </c>
      <c r="L86" s="1">
        <v>68</v>
      </c>
      <c r="M86" s="1">
        <v>145</v>
      </c>
      <c r="N86" s="1">
        <v>1</v>
      </c>
      <c r="O86" s="1">
        <v>0</v>
      </c>
      <c r="P86" s="1">
        <v>0</v>
      </c>
      <c r="Q86" s="1">
        <v>1</v>
      </c>
    </row>
    <row r="87" spans="1:17" x14ac:dyDescent="0.2">
      <c r="A87">
        <v>90</v>
      </c>
      <c r="B87">
        <v>92</v>
      </c>
      <c r="C87" t="s">
        <v>9</v>
      </c>
      <c r="D87" t="s">
        <v>8</v>
      </c>
      <c r="E87" t="s">
        <v>11</v>
      </c>
      <c r="F87">
        <v>64</v>
      </c>
      <c r="G87">
        <v>125</v>
      </c>
      <c r="H87">
        <v>1</v>
      </c>
      <c r="J87" s="1">
        <v>90</v>
      </c>
      <c r="K87" s="1">
        <v>92</v>
      </c>
      <c r="L87" s="1">
        <v>64</v>
      </c>
      <c r="M87" s="1">
        <v>125</v>
      </c>
      <c r="N87" s="1">
        <v>1</v>
      </c>
      <c r="O87" s="1">
        <v>0</v>
      </c>
      <c r="P87" s="1">
        <v>1</v>
      </c>
      <c r="Q87" s="1">
        <v>0</v>
      </c>
    </row>
    <row r="88" spans="1:17" x14ac:dyDescent="0.2">
      <c r="A88">
        <v>92</v>
      </c>
      <c r="B88">
        <v>84</v>
      </c>
      <c r="C88" t="s">
        <v>8</v>
      </c>
      <c r="D88" t="s">
        <v>8</v>
      </c>
      <c r="E88" t="s">
        <v>10</v>
      </c>
      <c r="F88">
        <v>70</v>
      </c>
      <c r="G88">
        <v>153</v>
      </c>
      <c r="H88">
        <v>3</v>
      </c>
      <c r="J88" s="1">
        <v>92</v>
      </c>
      <c r="K88" s="1">
        <v>84</v>
      </c>
      <c r="L88" s="1">
        <v>70</v>
      </c>
      <c r="M88" s="1">
        <v>153</v>
      </c>
      <c r="N88" s="1">
        <v>3</v>
      </c>
      <c r="O88" s="1">
        <v>1</v>
      </c>
      <c r="P88" s="1">
        <v>1</v>
      </c>
      <c r="Q88" s="1">
        <v>1</v>
      </c>
    </row>
    <row r="89" spans="1:17" x14ac:dyDescent="0.2">
      <c r="A89">
        <v>92</v>
      </c>
      <c r="B89">
        <v>94</v>
      </c>
      <c r="C89" t="s">
        <v>9</v>
      </c>
      <c r="D89" t="s">
        <v>8</v>
      </c>
      <c r="E89" t="s">
        <v>10</v>
      </c>
      <c r="F89">
        <v>69</v>
      </c>
      <c r="G89">
        <v>150</v>
      </c>
      <c r="H89">
        <v>2</v>
      </c>
      <c r="J89" s="1">
        <v>92</v>
      </c>
      <c r="K89" s="1">
        <v>94</v>
      </c>
      <c r="L89" s="1">
        <v>69</v>
      </c>
      <c r="M89" s="1">
        <v>150</v>
      </c>
      <c r="N89" s="1">
        <v>2</v>
      </c>
      <c r="O89" s="1">
        <v>0</v>
      </c>
      <c r="P89" s="1">
        <v>1</v>
      </c>
      <c r="Q89" s="1">
        <v>1</v>
      </c>
    </row>
    <row r="90" spans="1:17" x14ac:dyDescent="0.2">
      <c r="A90">
        <v>94</v>
      </c>
      <c r="B90">
        <v>92</v>
      </c>
      <c r="C90" t="s">
        <v>9</v>
      </c>
      <c r="D90" t="s">
        <v>8</v>
      </c>
      <c r="E90" t="s">
        <v>11</v>
      </c>
      <c r="F90">
        <v>62</v>
      </c>
      <c r="G90">
        <v>131</v>
      </c>
      <c r="H90">
        <v>2</v>
      </c>
      <c r="J90" s="1">
        <v>94</v>
      </c>
      <c r="K90" s="1">
        <v>92</v>
      </c>
      <c r="L90" s="1">
        <v>62</v>
      </c>
      <c r="M90" s="1">
        <v>131</v>
      </c>
      <c r="N90" s="1">
        <v>2</v>
      </c>
      <c r="O90" s="1">
        <v>0</v>
      </c>
      <c r="P90" s="1">
        <v>1</v>
      </c>
      <c r="Q90" s="1">
        <v>0</v>
      </c>
    </row>
    <row r="91" spans="1:17" x14ac:dyDescent="0.2">
      <c r="A91">
        <v>96</v>
      </c>
      <c r="B91">
        <v>140</v>
      </c>
      <c r="C91" t="s">
        <v>8</v>
      </c>
      <c r="D91" t="s">
        <v>9</v>
      </c>
      <c r="E91" t="s">
        <v>11</v>
      </c>
      <c r="F91">
        <v>61</v>
      </c>
      <c r="G91">
        <v>140</v>
      </c>
      <c r="H91">
        <v>2</v>
      </c>
      <c r="J91" s="1">
        <v>96</v>
      </c>
      <c r="K91" s="1">
        <v>140</v>
      </c>
      <c r="L91" s="1">
        <v>61</v>
      </c>
      <c r="M91" s="1">
        <v>140</v>
      </c>
      <c r="N91" s="1">
        <v>2</v>
      </c>
      <c r="O91" s="1">
        <v>1</v>
      </c>
      <c r="P91" s="1">
        <v>0</v>
      </c>
      <c r="Q91" s="1">
        <v>0</v>
      </c>
    </row>
    <row r="92" spans="1:17" x14ac:dyDescent="0.2">
      <c r="A92">
        <v>96</v>
      </c>
      <c r="B92">
        <v>116</v>
      </c>
      <c r="C92" t="s">
        <v>8</v>
      </c>
      <c r="D92" t="s">
        <v>9</v>
      </c>
      <c r="E92" t="s">
        <v>11</v>
      </c>
      <c r="F92">
        <v>68</v>
      </c>
      <c r="G92">
        <v>116</v>
      </c>
      <c r="H92">
        <v>2</v>
      </c>
      <c r="J92" s="1">
        <v>96</v>
      </c>
      <c r="K92" s="1">
        <v>116</v>
      </c>
      <c r="L92" s="1">
        <v>68</v>
      </c>
      <c r="M92" s="1">
        <v>116</v>
      </c>
      <c r="N92" s="1">
        <v>2</v>
      </c>
      <c r="O92" s="1">
        <v>1</v>
      </c>
      <c r="P92" s="1">
        <v>0</v>
      </c>
      <c r="Q92" s="1">
        <v>0</v>
      </c>
    </row>
    <row r="93" spans="1:17" x14ac:dyDescent="0.2">
      <c r="A93">
        <v>100</v>
      </c>
      <c r="B93">
        <v>115</v>
      </c>
      <c r="C93" t="s">
        <v>8</v>
      </c>
      <c r="D93" t="s">
        <v>8</v>
      </c>
      <c r="E93" t="s">
        <v>11</v>
      </c>
      <c r="F93">
        <v>63</v>
      </c>
      <c r="G93">
        <v>121</v>
      </c>
      <c r="H93">
        <v>2</v>
      </c>
      <c r="J93" s="1">
        <v>100</v>
      </c>
      <c r="K93" s="1">
        <v>115</v>
      </c>
      <c r="L93" s="1">
        <v>63</v>
      </c>
      <c r="M93" s="1">
        <v>121</v>
      </c>
      <c r="N93" s="1">
        <v>2</v>
      </c>
      <c r="O93" s="1">
        <v>1</v>
      </c>
      <c r="P93" s="1">
        <v>1</v>
      </c>
      <c r="Q93" s="1">
        <v>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1Male|Ht</vt:lpstr>
      <vt:lpstr>2Male|Wt</vt:lpstr>
      <vt:lpstr>3Male|P1</vt:lpstr>
      <vt:lpstr>4Pulse Data</vt:lpstr>
    </vt:vector>
  </TitlesOfParts>
  <Company>Plymouth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W. Hayden</dc:creator>
  <cp:lastModifiedBy>Milo Schield</cp:lastModifiedBy>
  <cp:lastPrinted>2014-10-27T03:10:30Z</cp:lastPrinted>
  <dcterms:created xsi:type="dcterms:W3CDTF">2007-07-30T21:25:35Z</dcterms:created>
  <dcterms:modified xsi:type="dcterms:W3CDTF">2015-03-08T19:36:13Z</dcterms:modified>
</cp:coreProperties>
</file>