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0\0H2014\0Bk\1Classes\1Excel\BUS379\Ch10-Stat-Signif\Stat-Sig-RR\"/>
    </mc:Choice>
  </mc:AlternateContent>
  <bookViews>
    <workbookView xWindow="0" yWindow="0" windowWidth="12450" windowHeight="8640"/>
  </bookViews>
  <sheets>
    <sheet name="RR-Calculator" sheetId="13" r:id="rId1"/>
    <sheet name="RR-Model" sheetId="7" r:id="rId2"/>
    <sheet name="RR-CI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5" i="7" l="1"/>
  <c r="AR43" i="7"/>
  <c r="AR44" i="7"/>
  <c r="BF39" i="7"/>
  <c r="BF40" i="7"/>
  <c r="BF38" i="7"/>
  <c r="BD38" i="7"/>
  <c r="BE38" i="7"/>
  <c r="BD39" i="7"/>
  <c r="BE39" i="7"/>
  <c r="BD40" i="7"/>
  <c r="BE40" i="7"/>
  <c r="BE37" i="7"/>
  <c r="BD37" i="7"/>
  <c r="BC37" i="7"/>
  <c r="BK40" i="7"/>
  <c r="BJ40" i="7"/>
  <c r="BI40" i="7"/>
  <c r="BC39" i="7"/>
  <c r="BC40" i="7"/>
  <c r="BC38" i="7"/>
  <c r="BG39" i="7"/>
  <c r="BH39" i="7"/>
  <c r="BG40" i="7"/>
  <c r="BH40" i="7"/>
  <c r="BH38" i="7"/>
  <c r="BG38" i="7"/>
  <c r="AZ36" i="7"/>
  <c r="BA36" i="7"/>
  <c r="BB36" i="7"/>
  <c r="AZ37" i="7"/>
  <c r="BA37" i="7"/>
  <c r="BB37" i="7"/>
  <c r="AZ38" i="7"/>
  <c r="BA38" i="7"/>
  <c r="BB38" i="7"/>
  <c r="AZ39" i="7"/>
  <c r="BA39" i="7"/>
  <c r="BB39" i="7"/>
  <c r="AZ40" i="7"/>
  <c r="BA40" i="7"/>
  <c r="BB40" i="7"/>
  <c r="BB35" i="7"/>
  <c r="BA35" i="7"/>
  <c r="AZ35" i="7"/>
  <c r="AW33" i="7"/>
  <c r="AX33" i="7"/>
  <c r="AY33" i="7"/>
  <c r="AW34" i="7"/>
  <c r="AX34" i="7"/>
  <c r="AY34" i="7"/>
  <c r="AW35" i="7"/>
  <c r="AX35" i="7"/>
  <c r="AY35" i="7"/>
  <c r="AW36" i="7"/>
  <c r="AX36" i="7"/>
  <c r="AY36" i="7"/>
  <c r="AW37" i="7"/>
  <c r="AX37" i="7"/>
  <c r="AY37" i="7"/>
  <c r="AW38" i="7"/>
  <c r="AX38" i="7"/>
  <c r="AY38" i="7"/>
  <c r="AW39" i="7"/>
  <c r="AX39" i="7"/>
  <c r="AY39" i="7"/>
  <c r="AW40" i="7"/>
  <c r="AX40" i="7"/>
  <c r="AY40" i="7"/>
  <c r="AY32" i="7"/>
  <c r="AX32" i="7"/>
  <c r="AW32" i="7"/>
  <c r="AT30" i="7"/>
  <c r="AU30" i="7"/>
  <c r="AV30" i="7"/>
  <c r="AT31" i="7"/>
  <c r="AU31" i="7"/>
  <c r="AV31" i="7"/>
  <c r="AT32" i="7"/>
  <c r="AU32" i="7"/>
  <c r="AV32" i="7"/>
  <c r="AT33" i="7"/>
  <c r="AU33" i="7"/>
  <c r="AV33" i="7"/>
  <c r="AT34" i="7"/>
  <c r="AU34" i="7"/>
  <c r="AV34" i="7"/>
  <c r="AT35" i="7"/>
  <c r="AU35" i="7"/>
  <c r="AV35" i="7"/>
  <c r="AT36" i="7"/>
  <c r="AU36" i="7"/>
  <c r="AV36" i="7"/>
  <c r="AT37" i="7"/>
  <c r="AU37" i="7"/>
  <c r="AV37" i="7"/>
  <c r="AT38" i="7"/>
  <c r="AU38" i="7"/>
  <c r="AV38" i="7"/>
  <c r="AT39" i="7"/>
  <c r="AU39" i="7"/>
  <c r="AV39" i="7"/>
  <c r="AT40" i="7"/>
  <c r="AU40" i="7"/>
  <c r="AV40" i="7"/>
  <c r="AV29" i="7"/>
  <c r="AU29" i="7"/>
  <c r="AT29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28" i="7"/>
  <c r="AR29" i="7"/>
  <c r="AS29" i="7"/>
  <c r="AR30" i="7"/>
  <c r="AS30" i="7"/>
  <c r="AR31" i="7"/>
  <c r="AS31" i="7"/>
  <c r="AR32" i="7"/>
  <c r="AS32" i="7"/>
  <c r="AR33" i="7"/>
  <c r="AS33" i="7"/>
  <c r="AR34" i="7"/>
  <c r="AS34" i="7"/>
  <c r="AR35" i="7"/>
  <c r="AS35" i="7"/>
  <c r="AR36" i="7"/>
  <c r="AS36" i="7"/>
  <c r="AR37" i="7"/>
  <c r="AS37" i="7"/>
  <c r="AR38" i="7"/>
  <c r="AS38" i="7"/>
  <c r="AR39" i="7"/>
  <c r="AS39" i="7"/>
  <c r="AR40" i="7"/>
  <c r="AS40" i="7"/>
  <c r="AS28" i="7"/>
  <c r="AR28" i="7"/>
  <c r="AN28" i="7"/>
  <c r="AO28" i="7"/>
  <c r="AP28" i="7"/>
  <c r="AN29" i="7"/>
  <c r="AO29" i="7"/>
  <c r="AP29" i="7"/>
  <c r="AN30" i="7"/>
  <c r="AO30" i="7"/>
  <c r="AP30" i="7"/>
  <c r="AN31" i="7"/>
  <c r="AO31" i="7"/>
  <c r="AP31" i="7"/>
  <c r="AN32" i="7"/>
  <c r="AO32" i="7"/>
  <c r="AP32" i="7"/>
  <c r="AN33" i="7"/>
  <c r="AO33" i="7"/>
  <c r="AP33" i="7"/>
  <c r="AN34" i="7"/>
  <c r="AO34" i="7"/>
  <c r="AP34" i="7"/>
  <c r="AN35" i="7"/>
  <c r="AO35" i="7"/>
  <c r="AP35" i="7"/>
  <c r="AN36" i="7"/>
  <c r="AO36" i="7"/>
  <c r="AP36" i="7"/>
  <c r="AN37" i="7"/>
  <c r="AO37" i="7"/>
  <c r="AP37" i="7"/>
  <c r="AN38" i="7"/>
  <c r="AO38" i="7"/>
  <c r="AP38" i="7"/>
  <c r="AN39" i="7"/>
  <c r="AO39" i="7"/>
  <c r="AP39" i="7"/>
  <c r="AN40" i="7"/>
  <c r="AO40" i="7"/>
  <c r="AP40" i="7"/>
  <c r="AP27" i="7"/>
  <c r="AO27" i="7"/>
  <c r="AN27" i="7"/>
  <c r="AK27" i="7"/>
  <c r="AL27" i="7"/>
  <c r="AM27" i="7"/>
  <c r="AK28" i="7"/>
  <c r="AL28" i="7"/>
  <c r="AM28" i="7"/>
  <c r="AK29" i="7"/>
  <c r="AL29" i="7"/>
  <c r="AM29" i="7"/>
  <c r="AK30" i="7"/>
  <c r="AL30" i="7"/>
  <c r="AM30" i="7"/>
  <c r="AK31" i="7"/>
  <c r="AL31" i="7"/>
  <c r="AM31" i="7"/>
  <c r="AK32" i="7"/>
  <c r="AL32" i="7"/>
  <c r="AM32" i="7"/>
  <c r="AK33" i="7"/>
  <c r="AL33" i="7"/>
  <c r="AM33" i="7"/>
  <c r="AK34" i="7"/>
  <c r="AL34" i="7"/>
  <c r="AM34" i="7"/>
  <c r="AK35" i="7"/>
  <c r="AL35" i="7"/>
  <c r="AM35" i="7"/>
  <c r="AK36" i="7"/>
  <c r="AL36" i="7"/>
  <c r="AM36" i="7"/>
  <c r="AK37" i="7"/>
  <c r="AL37" i="7"/>
  <c r="AM37" i="7"/>
  <c r="AK38" i="7"/>
  <c r="AL38" i="7"/>
  <c r="AM38" i="7"/>
  <c r="AK39" i="7"/>
  <c r="AL39" i="7"/>
  <c r="AM39" i="7"/>
  <c r="AK40" i="7"/>
  <c r="AL40" i="7"/>
  <c r="AM40" i="7"/>
  <c r="AM26" i="7"/>
  <c r="AL26" i="7"/>
  <c r="AK26" i="7"/>
  <c r="V5" i="7" l="1"/>
  <c r="J100" i="7"/>
  <c r="J81" i="7"/>
  <c r="J62" i="7"/>
  <c r="J43" i="7"/>
  <c r="J24" i="7"/>
  <c r="J5" i="7"/>
  <c r="A10" i="13"/>
  <c r="F5" i="7" l="1"/>
  <c r="D96" i="5"/>
  <c r="C87" i="5"/>
  <c r="D92" i="5" s="1"/>
  <c r="D98" i="5" s="1"/>
  <c r="D86" i="5"/>
  <c r="C86" i="5"/>
  <c r="I82" i="5"/>
  <c r="I83" i="5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D65" i="5"/>
  <c r="D37" i="5"/>
  <c r="I25" i="5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D61" i="5"/>
  <c r="D67" i="5" s="1"/>
  <c r="C57" i="5"/>
  <c r="D56" i="5"/>
  <c r="D57" i="5" s="1"/>
  <c r="E55" i="5"/>
  <c r="E57" i="5" s="1"/>
  <c r="D32" i="5"/>
  <c r="D34" i="5" s="1"/>
  <c r="D33" i="5"/>
  <c r="D39" i="5" s="1"/>
  <c r="D29" i="5"/>
  <c r="E29" i="5"/>
  <c r="C29" i="5"/>
  <c r="E27" i="5"/>
  <c r="E28" i="5"/>
  <c r="M79" i="7"/>
  <c r="X79" i="7" s="1"/>
  <c r="M60" i="7"/>
  <c r="B7" i="7"/>
  <c r="M41" i="7"/>
  <c r="X41" i="7" s="1"/>
  <c r="T5" i="7"/>
  <c r="H24" i="7"/>
  <c r="H43" i="7" s="1"/>
  <c r="H62" i="7" s="1"/>
  <c r="H81" i="7" s="1"/>
  <c r="K4" i="7"/>
  <c r="K5" i="7" s="1"/>
  <c r="K6" i="7" s="1"/>
  <c r="N1" i="7"/>
  <c r="W2" i="7"/>
  <c r="W3" i="7"/>
  <c r="W1" i="7"/>
  <c r="E9" i="13"/>
  <c r="E39" i="5"/>
  <c r="E102" i="5"/>
  <c r="Y79" i="7"/>
  <c r="E71" i="5"/>
  <c r="E32" i="5"/>
  <c r="E46" i="5"/>
  <c r="E101" i="5"/>
  <c r="E61" i="5"/>
  <c r="E60" i="5"/>
  <c r="E81" i="5"/>
  <c r="E48" i="5"/>
  <c r="E62" i="5"/>
  <c r="E42" i="5"/>
  <c r="E96" i="5"/>
  <c r="E106" i="5"/>
  <c r="E78" i="5"/>
  <c r="E111" i="5"/>
  <c r="E93" i="5"/>
  <c r="N22" i="7"/>
  <c r="E108" i="5"/>
  <c r="E65" i="5"/>
  <c r="E68" i="5"/>
  <c r="E105" i="5"/>
  <c r="E98" i="5"/>
  <c r="E99" i="5"/>
  <c r="E66" i="5"/>
  <c r="E104" i="5"/>
  <c r="E40" i="5"/>
  <c r="Y60" i="7"/>
  <c r="E33" i="5"/>
  <c r="E97" i="5"/>
  <c r="N60" i="7"/>
  <c r="E91" i="5"/>
  <c r="N79" i="7"/>
  <c r="E72" i="5"/>
  <c r="E112" i="5"/>
  <c r="E109" i="5"/>
  <c r="E10" i="13"/>
  <c r="N41" i="7"/>
  <c r="E67" i="5"/>
  <c r="E47" i="5"/>
  <c r="E37" i="5"/>
  <c r="E92" i="5"/>
  <c r="E35" i="5"/>
  <c r="E77" i="5"/>
  <c r="E94" i="5"/>
  <c r="E74" i="5"/>
  <c r="E80" i="5"/>
  <c r="E38" i="5"/>
  <c r="E49" i="5"/>
  <c r="Y41" i="7"/>
  <c r="E75" i="5"/>
  <c r="E70" i="5"/>
  <c r="E43" i="5"/>
  <c r="E63" i="5"/>
  <c r="D87" i="5" l="1"/>
  <c r="D88" i="5" s="1"/>
  <c r="C88" i="5"/>
  <c r="D91" i="5"/>
  <c r="D97" i="5" s="1"/>
  <c r="D99" i="5"/>
  <c r="D101" i="5" s="1"/>
  <c r="D102" i="5" s="1"/>
  <c r="D104" i="5" s="1"/>
  <c r="D93" i="5"/>
  <c r="E88" i="5"/>
  <c r="D38" i="5"/>
  <c r="D40" i="5" s="1"/>
  <c r="D60" i="5"/>
  <c r="W4" i="7"/>
  <c r="X60" i="7"/>
  <c r="W5" i="7"/>
  <c r="R5" i="7"/>
  <c r="U24" i="7" s="1"/>
  <c r="U43" i="7" s="1"/>
  <c r="U62" i="7" s="1"/>
  <c r="N6" i="7"/>
  <c r="N25" i="7" s="1"/>
  <c r="O6" i="7"/>
  <c r="O25" i="7" s="1"/>
  <c r="P6" i="7"/>
  <c r="P25" i="7" s="1"/>
  <c r="Q6" i="7"/>
  <c r="Q25" i="7" s="1"/>
  <c r="R6" i="7"/>
  <c r="R25" i="7" s="1"/>
  <c r="S6" i="7"/>
  <c r="S25" i="7" s="1"/>
  <c r="T6" i="7"/>
  <c r="T25" i="7" s="1"/>
  <c r="U6" i="7"/>
  <c r="U25" i="7" s="1"/>
  <c r="V6" i="7"/>
  <c r="V25" i="7" s="1"/>
  <c r="M7" i="7"/>
  <c r="M26" i="7" s="1"/>
  <c r="M8" i="7"/>
  <c r="M27" i="7" s="1"/>
  <c r="M9" i="7"/>
  <c r="M28" i="7" s="1"/>
  <c r="M10" i="7"/>
  <c r="M29" i="7" s="1"/>
  <c r="M11" i="7"/>
  <c r="M30" i="7" s="1"/>
  <c r="M12" i="7"/>
  <c r="M31" i="7" s="1"/>
  <c r="M13" i="7"/>
  <c r="M32" i="7" s="1"/>
  <c r="M14" i="7"/>
  <c r="M33" i="7" s="1"/>
  <c r="M15" i="7"/>
  <c r="M34" i="7" s="1"/>
  <c r="M16" i="7"/>
  <c r="M35" i="7" s="1"/>
  <c r="M17" i="7"/>
  <c r="M36" i="7" s="1"/>
  <c r="M18" i="7"/>
  <c r="M37" i="7" s="1"/>
  <c r="M19" i="7"/>
  <c r="M38" i="7" s="1"/>
  <c r="M20" i="7"/>
  <c r="M39" i="7" s="1"/>
  <c r="M21" i="7"/>
  <c r="M40" i="7" s="1"/>
  <c r="M6" i="7"/>
  <c r="M25" i="7" s="1"/>
  <c r="M22" i="7"/>
  <c r="I3" i="7"/>
  <c r="H16" i="7" s="1"/>
  <c r="E3" i="7"/>
  <c r="Q5" i="7" s="1"/>
  <c r="T24" i="7" s="1"/>
  <c r="T43" i="7" s="1"/>
  <c r="T62" i="7" s="1"/>
  <c r="B117" i="7"/>
  <c r="A98" i="7"/>
  <c r="A79" i="7"/>
  <c r="A60" i="7"/>
  <c r="A41" i="7"/>
  <c r="B22" i="7"/>
  <c r="F24" i="7"/>
  <c r="F43" i="7" s="1"/>
  <c r="F62" i="7" s="1"/>
  <c r="F81" i="7" s="1"/>
  <c r="F100" i="7" s="1"/>
  <c r="B8" i="7"/>
  <c r="C8" i="7"/>
  <c r="D8" i="7"/>
  <c r="E8" i="7"/>
  <c r="F8" i="7"/>
  <c r="G8" i="7"/>
  <c r="H8" i="7"/>
  <c r="I8" i="7"/>
  <c r="B9" i="7"/>
  <c r="C9" i="7"/>
  <c r="D9" i="7"/>
  <c r="E9" i="7"/>
  <c r="F9" i="7"/>
  <c r="G9" i="7"/>
  <c r="H9" i="7"/>
  <c r="B10" i="7"/>
  <c r="C10" i="7"/>
  <c r="D10" i="7"/>
  <c r="E10" i="7"/>
  <c r="F10" i="7"/>
  <c r="G10" i="7"/>
  <c r="B11" i="7"/>
  <c r="C11" i="7"/>
  <c r="D11" i="7"/>
  <c r="E11" i="7"/>
  <c r="F11" i="7"/>
  <c r="B12" i="7"/>
  <c r="C12" i="7"/>
  <c r="D12" i="7"/>
  <c r="E12" i="7"/>
  <c r="F12" i="7"/>
  <c r="G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B16" i="7"/>
  <c r="C16" i="7"/>
  <c r="D16" i="7"/>
  <c r="E16" i="7"/>
  <c r="B17" i="7"/>
  <c r="C17" i="7"/>
  <c r="D17" i="7"/>
  <c r="E17" i="7"/>
  <c r="B18" i="7"/>
  <c r="C18" i="7"/>
  <c r="D18" i="7"/>
  <c r="B19" i="7"/>
  <c r="C19" i="7"/>
  <c r="B20" i="7"/>
  <c r="C20" i="7"/>
  <c r="C7" i="7"/>
  <c r="D7" i="7"/>
  <c r="E7" i="7"/>
  <c r="F7" i="7"/>
  <c r="G7" i="7"/>
  <c r="H7" i="7"/>
  <c r="I7" i="7"/>
  <c r="J7" i="7"/>
  <c r="B26" i="7"/>
  <c r="B45" i="7" s="1"/>
  <c r="B64" i="7" s="1"/>
  <c r="B83" i="7" s="1"/>
  <c r="A12" i="13"/>
  <c r="I21" i="7" l="1"/>
  <c r="J20" i="7"/>
  <c r="C21" i="7"/>
  <c r="E19" i="7"/>
  <c r="F18" i="7"/>
  <c r="G17" i="7"/>
  <c r="I15" i="7"/>
  <c r="J21" i="7"/>
  <c r="B21" i="7"/>
  <c r="D19" i="7"/>
  <c r="E18" i="7"/>
  <c r="F17" i="7"/>
  <c r="G16" i="7"/>
  <c r="J9" i="7"/>
  <c r="H21" i="7"/>
  <c r="I20" i="7"/>
  <c r="I10" i="7"/>
  <c r="H20" i="7"/>
  <c r="F21" i="7"/>
  <c r="H19" i="7"/>
  <c r="J17" i="7"/>
  <c r="J14" i="7"/>
  <c r="F16" i="7"/>
  <c r="J19" i="7"/>
  <c r="G21" i="7"/>
  <c r="I19" i="7"/>
  <c r="J18" i="7"/>
  <c r="G20" i="7"/>
  <c r="I18" i="7"/>
  <c r="E21" i="7"/>
  <c r="F20" i="7"/>
  <c r="G19" i="7"/>
  <c r="H18" i="7"/>
  <c r="I17" i="7"/>
  <c r="J16" i="7"/>
  <c r="E20" i="7"/>
  <c r="H17" i="7"/>
  <c r="D21" i="7"/>
  <c r="F19" i="7"/>
  <c r="G18" i="7"/>
  <c r="I16" i="7"/>
  <c r="J15" i="7"/>
  <c r="D20" i="7"/>
  <c r="J8" i="7"/>
  <c r="H11" i="7"/>
  <c r="G13" i="7"/>
  <c r="E24" i="7"/>
  <c r="E43" i="7" s="1"/>
  <c r="E62" i="7" s="1"/>
  <c r="E81" i="7" s="1"/>
  <c r="E100" i="7" s="1"/>
  <c r="E5" i="7"/>
  <c r="D94" i="5"/>
  <c r="D106" i="5"/>
  <c r="D105" i="5"/>
  <c r="D62" i="5"/>
  <c r="D66" i="5"/>
  <c r="H15" i="7"/>
  <c r="I14" i="7"/>
  <c r="J13" i="7"/>
  <c r="G15" i="7"/>
  <c r="H14" i="7"/>
  <c r="I13" i="7"/>
  <c r="J12" i="7"/>
  <c r="F15" i="7"/>
  <c r="G14" i="7"/>
  <c r="H13" i="7"/>
  <c r="I12" i="7"/>
  <c r="J11" i="7"/>
  <c r="H12" i="7"/>
  <c r="I11" i="7"/>
  <c r="J10" i="7"/>
  <c r="G11" i="7"/>
  <c r="H10" i="7"/>
  <c r="I9" i="7"/>
  <c r="D32" i="7"/>
  <c r="D51" i="7" s="1"/>
  <c r="D70" i="7" s="1"/>
  <c r="D89" i="7" s="1"/>
  <c r="P13" i="7" s="1"/>
  <c r="C26" i="7"/>
  <c r="C45" i="7" s="1"/>
  <c r="C64" i="7" s="1"/>
  <c r="C83" i="7" s="1"/>
  <c r="O7" i="7"/>
  <c r="B33" i="7"/>
  <c r="B52" i="7" s="1"/>
  <c r="B71" i="7" s="1"/>
  <c r="B90" i="7" s="1"/>
  <c r="N14" i="7"/>
  <c r="C32" i="7"/>
  <c r="C51" i="7" s="1"/>
  <c r="C70" i="7" s="1"/>
  <c r="C89" i="7" s="1"/>
  <c r="O13" i="7"/>
  <c r="D31" i="7"/>
  <c r="D50" i="7" s="1"/>
  <c r="D69" i="7" s="1"/>
  <c r="D88" i="7" s="1"/>
  <c r="P12" i="7"/>
  <c r="E30" i="7"/>
  <c r="E49" i="7" s="1"/>
  <c r="E68" i="7" s="1"/>
  <c r="E87" i="7" s="1"/>
  <c r="Q11" i="7" s="1"/>
  <c r="X34" i="7"/>
  <c r="M53" i="7"/>
  <c r="X26" i="7"/>
  <c r="M45" i="7"/>
  <c r="Z25" i="7"/>
  <c r="O44" i="7"/>
  <c r="B34" i="7"/>
  <c r="B53" i="7" s="1"/>
  <c r="B72" i="7" s="1"/>
  <c r="B91" i="7" s="1"/>
  <c r="N15" i="7"/>
  <c r="E31" i="7"/>
  <c r="E50" i="7" s="1"/>
  <c r="E69" i="7" s="1"/>
  <c r="E88" i="7" s="1"/>
  <c r="Q12" i="7" s="1"/>
  <c r="M46" i="7"/>
  <c r="X27" i="7"/>
  <c r="B32" i="7"/>
  <c r="B51" i="7" s="1"/>
  <c r="B70" i="7" s="1"/>
  <c r="B89" i="7" s="1"/>
  <c r="N13" i="7"/>
  <c r="C31" i="7"/>
  <c r="C50" i="7" s="1"/>
  <c r="C69" i="7" s="1"/>
  <c r="C88" i="7" s="1"/>
  <c r="O12" i="7"/>
  <c r="D30" i="7"/>
  <c r="D49" i="7" s="1"/>
  <c r="D68" i="7" s="1"/>
  <c r="D87" i="7" s="1"/>
  <c r="P11" i="7"/>
  <c r="E29" i="7"/>
  <c r="E48" i="7" s="1"/>
  <c r="E67" i="7" s="1"/>
  <c r="E86" i="7" s="1"/>
  <c r="Q10" i="7" s="1"/>
  <c r="F28" i="7"/>
  <c r="F47" i="7" s="1"/>
  <c r="F66" i="7" s="1"/>
  <c r="F85" i="7" s="1"/>
  <c r="R9" i="7" s="1"/>
  <c r="G27" i="7"/>
  <c r="G46" i="7" s="1"/>
  <c r="G65" i="7" s="1"/>
  <c r="G84" i="7" s="1"/>
  <c r="S8" i="7" s="1"/>
  <c r="X25" i="7"/>
  <c r="M44" i="7"/>
  <c r="X33" i="7"/>
  <c r="M52" i="7"/>
  <c r="AG25" i="7"/>
  <c r="V44" i="7"/>
  <c r="Y25" i="7"/>
  <c r="N44" i="7"/>
  <c r="C33" i="7"/>
  <c r="C52" i="7" s="1"/>
  <c r="C71" i="7" s="1"/>
  <c r="C90" i="7" s="1"/>
  <c r="O14" i="7"/>
  <c r="M54" i="7"/>
  <c r="X35" i="7"/>
  <c r="AA25" i="7"/>
  <c r="P44" i="7"/>
  <c r="B31" i="7"/>
  <c r="B50" i="7" s="1"/>
  <c r="B69" i="7" s="1"/>
  <c r="B88" i="7" s="1"/>
  <c r="N12" i="7"/>
  <c r="C30" i="7"/>
  <c r="C49" i="7" s="1"/>
  <c r="C68" i="7" s="1"/>
  <c r="C87" i="7" s="1"/>
  <c r="O11" i="7"/>
  <c r="D29" i="7"/>
  <c r="D48" i="7" s="1"/>
  <c r="D67" i="7" s="1"/>
  <c r="D86" i="7" s="1"/>
  <c r="P10" i="7"/>
  <c r="E28" i="7"/>
  <c r="E47" i="7" s="1"/>
  <c r="E66" i="7" s="1"/>
  <c r="E85" i="7" s="1"/>
  <c r="Q9" i="7"/>
  <c r="F27" i="7"/>
  <c r="F46" i="7" s="1"/>
  <c r="F65" i="7" s="1"/>
  <c r="F84" i="7" s="1"/>
  <c r="R8" i="7"/>
  <c r="M59" i="7"/>
  <c r="X40" i="7"/>
  <c r="X32" i="7"/>
  <c r="M51" i="7"/>
  <c r="AF25" i="7"/>
  <c r="U44" i="7"/>
  <c r="B30" i="7"/>
  <c r="B49" i="7" s="1"/>
  <c r="B68" i="7" s="1"/>
  <c r="B87" i="7" s="1"/>
  <c r="N11" i="7"/>
  <c r="C29" i="7"/>
  <c r="C48" i="7" s="1"/>
  <c r="C67" i="7" s="1"/>
  <c r="C86" i="7" s="1"/>
  <c r="O10" i="7"/>
  <c r="D28" i="7"/>
  <c r="D47" i="7" s="1"/>
  <c r="D66" i="7" s="1"/>
  <c r="D85" i="7" s="1"/>
  <c r="P9" i="7"/>
  <c r="E27" i="7"/>
  <c r="E46" i="7" s="1"/>
  <c r="E65" i="7" s="1"/>
  <c r="E84" i="7" s="1"/>
  <c r="Q8" i="7"/>
  <c r="M58" i="7"/>
  <c r="X39" i="7"/>
  <c r="M50" i="7"/>
  <c r="X31" i="7"/>
  <c r="T44" i="7"/>
  <c r="AE25" i="7"/>
  <c r="D26" i="7"/>
  <c r="D45" i="7" s="1"/>
  <c r="D64" i="7" s="1"/>
  <c r="D83" i="7" s="1"/>
  <c r="P7" i="7"/>
  <c r="H26" i="7"/>
  <c r="H45" i="7" s="1"/>
  <c r="H64" i="7" s="1"/>
  <c r="H83" i="7" s="1"/>
  <c r="T7" i="7" s="1"/>
  <c r="G26" i="7"/>
  <c r="G45" i="7" s="1"/>
  <c r="G64" i="7" s="1"/>
  <c r="G83" i="7" s="1"/>
  <c r="S7" i="7"/>
  <c r="B37" i="7"/>
  <c r="B56" i="7" s="1"/>
  <c r="B75" i="7" s="1"/>
  <c r="B94" i="7" s="1"/>
  <c r="N18" i="7" s="1"/>
  <c r="C36" i="7"/>
  <c r="C55" i="7" s="1"/>
  <c r="C74" i="7" s="1"/>
  <c r="C93" i="7" s="1"/>
  <c r="O17" i="7" s="1"/>
  <c r="B29" i="7"/>
  <c r="B48" i="7" s="1"/>
  <c r="B67" i="7" s="1"/>
  <c r="B86" i="7" s="1"/>
  <c r="N10" i="7"/>
  <c r="C28" i="7"/>
  <c r="C47" i="7" s="1"/>
  <c r="C66" i="7" s="1"/>
  <c r="C85" i="7" s="1"/>
  <c r="O9" i="7"/>
  <c r="D27" i="7"/>
  <c r="D46" i="7" s="1"/>
  <c r="D65" i="7" s="1"/>
  <c r="D84" i="7" s="1"/>
  <c r="P8" i="7"/>
  <c r="M57" i="7"/>
  <c r="X38" i="7"/>
  <c r="M49" i="7"/>
  <c r="X30" i="7"/>
  <c r="S44" i="7"/>
  <c r="AD25" i="7"/>
  <c r="F26" i="7"/>
  <c r="F45" i="7" s="1"/>
  <c r="F64" i="7" s="1"/>
  <c r="F83" i="7" s="1"/>
  <c r="R7" i="7"/>
  <c r="C35" i="7"/>
  <c r="C54" i="7" s="1"/>
  <c r="C73" i="7" s="1"/>
  <c r="C92" i="7" s="1"/>
  <c r="O16" i="7" s="1"/>
  <c r="B28" i="7"/>
  <c r="B47" i="7" s="1"/>
  <c r="B66" i="7" s="1"/>
  <c r="B85" i="7" s="1"/>
  <c r="N9" i="7"/>
  <c r="C27" i="7"/>
  <c r="C46" i="7" s="1"/>
  <c r="C65" i="7" s="1"/>
  <c r="C84" i="7" s="1"/>
  <c r="O8" i="7"/>
  <c r="X37" i="7"/>
  <c r="M56" i="7"/>
  <c r="X29" i="7"/>
  <c r="M48" i="7"/>
  <c r="R44" i="7"/>
  <c r="AC25" i="7"/>
  <c r="B36" i="7"/>
  <c r="B55" i="7" s="1"/>
  <c r="B74" i="7" s="1"/>
  <c r="B93" i="7" s="1"/>
  <c r="N17" i="7"/>
  <c r="E26" i="7"/>
  <c r="E45" i="7" s="1"/>
  <c r="E64" i="7" s="1"/>
  <c r="E83" i="7" s="1"/>
  <c r="Q7" i="7"/>
  <c r="B35" i="7"/>
  <c r="B54" i="7" s="1"/>
  <c r="B73" i="7" s="1"/>
  <c r="B92" i="7" s="1"/>
  <c r="N16" i="7"/>
  <c r="C34" i="7"/>
  <c r="C53" i="7" s="1"/>
  <c r="C72" i="7" s="1"/>
  <c r="C91" i="7" s="1"/>
  <c r="O15" i="7"/>
  <c r="D33" i="7"/>
  <c r="D52" i="7" s="1"/>
  <c r="D71" i="7" s="1"/>
  <c r="D90" i="7" s="1"/>
  <c r="P14" i="7" s="1"/>
  <c r="B27" i="7"/>
  <c r="B46" i="7" s="1"/>
  <c r="B65" i="7" s="1"/>
  <c r="B84" i="7" s="1"/>
  <c r="N8" i="7"/>
  <c r="M55" i="7"/>
  <c r="X36" i="7"/>
  <c r="M47" i="7"/>
  <c r="X28" i="7"/>
  <c r="Q44" i="7"/>
  <c r="AB25" i="7"/>
  <c r="K7" i="7"/>
  <c r="W6" i="7"/>
  <c r="N7" i="7"/>
  <c r="N64" i="7" s="1"/>
  <c r="Y64" i="7" s="1"/>
  <c r="A13" i="13"/>
  <c r="A14" i="13" s="1"/>
  <c r="A15" i="13" s="1"/>
  <c r="A16" i="13" s="1"/>
  <c r="A17" i="13" s="1"/>
  <c r="A18" i="13" s="1"/>
  <c r="A19" i="13" s="1"/>
  <c r="A20" i="13" s="1"/>
  <c r="A21" i="13" s="1"/>
  <c r="A9" i="13"/>
  <c r="E19" i="13"/>
  <c r="E18" i="13"/>
  <c r="E16" i="13"/>
  <c r="E21" i="13"/>
  <c r="E13" i="13"/>
  <c r="E20" i="13"/>
  <c r="E15" i="13"/>
  <c r="E14" i="13"/>
  <c r="E12" i="13"/>
  <c r="E17" i="13"/>
  <c r="X46" i="7" l="1"/>
  <c r="M65" i="7"/>
  <c r="X65" i="7" s="1"/>
  <c r="X53" i="7"/>
  <c r="M72" i="7"/>
  <c r="X72" i="7" s="1"/>
  <c r="AC44" i="7"/>
  <c r="R63" i="7"/>
  <c r="AC63" i="7" s="1"/>
  <c r="X51" i="7"/>
  <c r="M70" i="7"/>
  <c r="X70" i="7" s="1"/>
  <c r="X52" i="7"/>
  <c r="M71" i="7"/>
  <c r="X71" i="7" s="1"/>
  <c r="X44" i="7"/>
  <c r="M63" i="7"/>
  <c r="X63" i="7" s="1"/>
  <c r="X57" i="7"/>
  <c r="M76" i="7"/>
  <c r="X76" i="7" s="1"/>
  <c r="AE44" i="7"/>
  <c r="T63" i="7"/>
  <c r="AE63" i="7" s="1"/>
  <c r="X55" i="7"/>
  <c r="M74" i="7"/>
  <c r="X74" i="7" s="1"/>
  <c r="X56" i="7"/>
  <c r="M75" i="7"/>
  <c r="X75" i="7" s="1"/>
  <c r="X59" i="7"/>
  <c r="M78" i="7"/>
  <c r="X78" i="7" s="1"/>
  <c r="Z44" i="7"/>
  <c r="O63" i="7"/>
  <c r="Z63" i="7" s="1"/>
  <c r="X49" i="7"/>
  <c r="M68" i="7"/>
  <c r="X68" i="7" s="1"/>
  <c r="X48" i="7"/>
  <c r="M67" i="7"/>
  <c r="X67" i="7" s="1"/>
  <c r="X50" i="7"/>
  <c r="M69" i="7"/>
  <c r="X69" i="7" s="1"/>
  <c r="Y44" i="7"/>
  <c r="N63" i="7"/>
  <c r="Y63" i="7" s="1"/>
  <c r="AB44" i="7"/>
  <c r="Q63" i="7"/>
  <c r="AB63" i="7" s="1"/>
  <c r="X54" i="7"/>
  <c r="M73" i="7"/>
  <c r="X73" i="7" s="1"/>
  <c r="AD44" i="7"/>
  <c r="S63" i="7"/>
  <c r="AD63" i="7" s="1"/>
  <c r="X45" i="7"/>
  <c r="M64" i="7"/>
  <c r="X64" i="7" s="1"/>
  <c r="X47" i="7"/>
  <c r="M66" i="7"/>
  <c r="X66" i="7" s="1"/>
  <c r="X58" i="7"/>
  <c r="M77" i="7"/>
  <c r="X77" i="7" s="1"/>
  <c r="AF44" i="7"/>
  <c r="U63" i="7"/>
  <c r="AF63" i="7" s="1"/>
  <c r="AA44" i="7"/>
  <c r="P63" i="7"/>
  <c r="AA63" i="7" s="1"/>
  <c r="AG44" i="7"/>
  <c r="V63" i="7"/>
  <c r="AG63" i="7" s="1"/>
  <c r="D109" i="5"/>
  <c r="D112" i="5" s="1"/>
  <c r="D108" i="5"/>
  <c r="D111" i="5" s="1"/>
  <c r="T64" i="7"/>
  <c r="AE64" i="7" s="1"/>
  <c r="T26" i="7"/>
  <c r="T45" i="7" s="1"/>
  <c r="AE45" i="7" s="1"/>
  <c r="O31" i="7"/>
  <c r="O50" i="7" s="1"/>
  <c r="Z50" i="7" s="1"/>
  <c r="O69" i="7"/>
  <c r="Z69" i="7" s="1"/>
  <c r="N66" i="7"/>
  <c r="Y66" i="7" s="1"/>
  <c r="N28" i="7"/>
  <c r="N47" i="7" s="1"/>
  <c r="Y47" i="7" s="1"/>
  <c r="R65" i="7"/>
  <c r="AC65" i="7" s="1"/>
  <c r="R27" i="7"/>
  <c r="R46" i="7" s="1"/>
  <c r="AC46" i="7" s="1"/>
  <c r="N72" i="7"/>
  <c r="Y72" i="7" s="1"/>
  <c r="N34" i="7"/>
  <c r="N53" i="7" s="1"/>
  <c r="Y53" i="7" s="1"/>
  <c r="N73" i="7"/>
  <c r="Y73" i="7" s="1"/>
  <c r="N35" i="7"/>
  <c r="N54" i="7" s="1"/>
  <c r="Y54" i="7" s="1"/>
  <c r="O73" i="7"/>
  <c r="Z73" i="7" s="1"/>
  <c r="O35" i="7"/>
  <c r="O54" i="7" s="1"/>
  <c r="Z54" i="7" s="1"/>
  <c r="O74" i="7"/>
  <c r="Z74" i="7" s="1"/>
  <c r="O36" i="7"/>
  <c r="O55" i="7" s="1"/>
  <c r="Z55" i="7" s="1"/>
  <c r="P64" i="7"/>
  <c r="AA64" i="7" s="1"/>
  <c r="P26" i="7"/>
  <c r="P45" i="7" s="1"/>
  <c r="AA45" i="7" s="1"/>
  <c r="Q65" i="7"/>
  <c r="AB65" i="7" s="1"/>
  <c r="Q27" i="7"/>
  <c r="Q46" i="7" s="1"/>
  <c r="AB46" i="7" s="1"/>
  <c r="Q66" i="7"/>
  <c r="AB66" i="7" s="1"/>
  <c r="Q28" i="7"/>
  <c r="Q47" i="7" s="1"/>
  <c r="AB47" i="7" s="1"/>
  <c r="R66" i="7"/>
  <c r="AC66" i="7" s="1"/>
  <c r="R28" i="7"/>
  <c r="R47" i="7" s="1"/>
  <c r="AC47" i="7" s="1"/>
  <c r="N70" i="7"/>
  <c r="Y70" i="7" s="1"/>
  <c r="N32" i="7"/>
  <c r="N51" i="7" s="1"/>
  <c r="Y51" i="7" s="1"/>
  <c r="P69" i="7"/>
  <c r="AA69" i="7" s="1"/>
  <c r="P31" i="7"/>
  <c r="P50" i="7" s="1"/>
  <c r="P70" i="7"/>
  <c r="AA70" i="7" s="1"/>
  <c r="P32" i="7"/>
  <c r="P51" i="7" s="1"/>
  <c r="AA51" i="7" s="1"/>
  <c r="N68" i="7"/>
  <c r="Y68" i="7" s="1"/>
  <c r="N30" i="7"/>
  <c r="N49" i="7" s="1"/>
  <c r="Y49" i="7" s="1"/>
  <c r="Q68" i="7"/>
  <c r="AB68" i="7" s="1"/>
  <c r="Q30" i="7"/>
  <c r="Q49" i="7" s="1"/>
  <c r="N67" i="7"/>
  <c r="Y67" i="7" s="1"/>
  <c r="N29" i="7"/>
  <c r="N48" i="7" s="1"/>
  <c r="Y48" i="7" s="1"/>
  <c r="N65" i="7"/>
  <c r="Y65" i="7" s="1"/>
  <c r="N27" i="7"/>
  <c r="N46" i="7" s="1"/>
  <c r="Y46" i="7" s="1"/>
  <c r="Q64" i="7"/>
  <c r="AB64" i="7" s="1"/>
  <c r="Q26" i="7"/>
  <c r="Q45" i="7" s="1"/>
  <c r="AB45" i="7" s="1"/>
  <c r="R64" i="7"/>
  <c r="AC64" i="7" s="1"/>
  <c r="R26" i="7"/>
  <c r="R45" i="7" s="1"/>
  <c r="AC45" i="7" s="1"/>
  <c r="P65" i="7"/>
  <c r="AA65" i="7" s="1"/>
  <c r="P27" i="7"/>
  <c r="P46" i="7" s="1"/>
  <c r="AA46" i="7" s="1"/>
  <c r="N37" i="7"/>
  <c r="N56" i="7" s="1"/>
  <c r="Y56" i="7" s="1"/>
  <c r="N75" i="7"/>
  <c r="Y75" i="7" s="1"/>
  <c r="P66" i="7"/>
  <c r="AA66" i="7" s="1"/>
  <c r="P28" i="7"/>
  <c r="P47" i="7" s="1"/>
  <c r="AA47" i="7" s="1"/>
  <c r="P67" i="7"/>
  <c r="AA67" i="7" s="1"/>
  <c r="P29" i="7"/>
  <c r="P48" i="7" s="1"/>
  <c r="AA48" i="7" s="1"/>
  <c r="Q29" i="7"/>
  <c r="Q48" i="7" s="1"/>
  <c r="AB48" i="7" s="1"/>
  <c r="Q67" i="7"/>
  <c r="AB67" i="7" s="1"/>
  <c r="O70" i="7"/>
  <c r="Z70" i="7" s="1"/>
  <c r="O32" i="7"/>
  <c r="O51" i="7" s="1"/>
  <c r="N69" i="7"/>
  <c r="Y69" i="7" s="1"/>
  <c r="N31" i="7"/>
  <c r="N50" i="7" s="1"/>
  <c r="Y50" i="7" s="1"/>
  <c r="O26" i="7"/>
  <c r="O45" i="7" s="1"/>
  <c r="Z45" i="7" s="1"/>
  <c r="O64" i="7"/>
  <c r="Z64" i="7" s="1"/>
  <c r="O72" i="7"/>
  <c r="Z72" i="7" s="1"/>
  <c r="O34" i="7"/>
  <c r="O53" i="7" s="1"/>
  <c r="Z53" i="7" s="1"/>
  <c r="S65" i="7"/>
  <c r="AD65" i="7" s="1"/>
  <c r="S27" i="7"/>
  <c r="S46" i="7" s="1"/>
  <c r="AD46" i="7" s="1"/>
  <c r="P71" i="7"/>
  <c r="AA71" i="7" s="1"/>
  <c r="P33" i="7"/>
  <c r="P52" i="7" s="1"/>
  <c r="AA52" i="7" s="1"/>
  <c r="N74" i="7"/>
  <c r="Y74" i="7" s="1"/>
  <c r="N36" i="7"/>
  <c r="N55" i="7" s="1"/>
  <c r="Y55" i="7" s="1"/>
  <c r="O65" i="7"/>
  <c r="Z65" i="7" s="1"/>
  <c r="O27" i="7"/>
  <c r="O46" i="7" s="1"/>
  <c r="Z46" i="7" s="1"/>
  <c r="O66" i="7"/>
  <c r="Z66" i="7" s="1"/>
  <c r="O28" i="7"/>
  <c r="O47" i="7" s="1"/>
  <c r="Z47" i="7" s="1"/>
  <c r="S26" i="7"/>
  <c r="S45" i="7" s="1"/>
  <c r="AD45" i="7" s="1"/>
  <c r="S64" i="7"/>
  <c r="AD64" i="7" s="1"/>
  <c r="O67" i="7"/>
  <c r="Z67" i="7" s="1"/>
  <c r="O29" i="7"/>
  <c r="O48" i="7" s="1"/>
  <c r="Z48" i="7" s="1"/>
  <c r="O68" i="7"/>
  <c r="Z68" i="7" s="1"/>
  <c r="O30" i="7"/>
  <c r="O49" i="7" s="1"/>
  <c r="Z49" i="7" s="1"/>
  <c r="O71" i="7"/>
  <c r="Z71" i="7" s="1"/>
  <c r="O33" i="7"/>
  <c r="O52" i="7" s="1"/>
  <c r="Z52" i="7" s="1"/>
  <c r="P68" i="7"/>
  <c r="AA68" i="7" s="1"/>
  <c r="P30" i="7"/>
  <c r="P49" i="7" s="1"/>
  <c r="AA49" i="7" s="1"/>
  <c r="Q69" i="7"/>
  <c r="AB69" i="7" s="1"/>
  <c r="Q31" i="7"/>
  <c r="Q50" i="7" s="1"/>
  <c r="AB50" i="7" s="1"/>
  <c r="N33" i="7"/>
  <c r="N52" i="7" s="1"/>
  <c r="N71" i="7"/>
  <c r="Y71" i="7" s="1"/>
  <c r="N26" i="7"/>
  <c r="N45" i="7" s="1"/>
  <c r="Y45" i="7" s="1"/>
  <c r="K8" i="7"/>
  <c r="W7" i="7"/>
  <c r="G5" i="7"/>
  <c r="P2" i="7" s="1"/>
  <c r="F103" i="7"/>
  <c r="E104" i="7"/>
  <c r="B107" i="7"/>
  <c r="C109" i="7"/>
  <c r="B110" i="7"/>
  <c r="D102" i="7"/>
  <c r="E102" i="7"/>
  <c r="A40" i="7"/>
  <c r="A59" i="7" s="1"/>
  <c r="A78" i="7" s="1"/>
  <c r="A97" i="7" s="1"/>
  <c r="A116" i="7" s="1"/>
  <c r="A39" i="7"/>
  <c r="A58" i="7" s="1"/>
  <c r="A77" i="7" s="1"/>
  <c r="A96" i="7" s="1"/>
  <c r="A115" i="7" s="1"/>
  <c r="A38" i="7"/>
  <c r="A57" i="7" s="1"/>
  <c r="A76" i="7" s="1"/>
  <c r="A95" i="7" s="1"/>
  <c r="A114" i="7" s="1"/>
  <c r="A37" i="7"/>
  <c r="A56" i="7" s="1"/>
  <c r="A75" i="7" s="1"/>
  <c r="A94" i="7" s="1"/>
  <c r="A113" i="7" s="1"/>
  <c r="B112" i="7"/>
  <c r="A36" i="7"/>
  <c r="A55" i="7" s="1"/>
  <c r="A74" i="7" s="1"/>
  <c r="A93" i="7" s="1"/>
  <c r="A112" i="7" s="1"/>
  <c r="A35" i="7"/>
  <c r="A54" i="7" s="1"/>
  <c r="A73" i="7" s="1"/>
  <c r="A92" i="7" s="1"/>
  <c r="A111" i="7" s="1"/>
  <c r="A34" i="7"/>
  <c r="A53" i="7" s="1"/>
  <c r="A72" i="7" s="1"/>
  <c r="A91" i="7" s="1"/>
  <c r="A110" i="7" s="1"/>
  <c r="A33" i="7"/>
  <c r="A52" i="7" s="1"/>
  <c r="A71" i="7" s="1"/>
  <c r="A90" i="7" s="1"/>
  <c r="A109" i="7" s="1"/>
  <c r="B108" i="7"/>
  <c r="A32" i="7"/>
  <c r="A51" i="7" s="1"/>
  <c r="A70" i="7" s="1"/>
  <c r="A89" i="7" s="1"/>
  <c r="A108" i="7" s="1"/>
  <c r="D107" i="7"/>
  <c r="A31" i="7"/>
  <c r="A50" i="7" s="1"/>
  <c r="A69" i="7" s="1"/>
  <c r="A88" i="7" s="1"/>
  <c r="A107" i="7" s="1"/>
  <c r="A30" i="7"/>
  <c r="A49" i="7" s="1"/>
  <c r="A68" i="7" s="1"/>
  <c r="A87" i="7" s="1"/>
  <c r="A106" i="7" s="1"/>
  <c r="E105" i="7"/>
  <c r="C105" i="7"/>
  <c r="A29" i="7"/>
  <c r="A48" i="7" s="1"/>
  <c r="A67" i="7" s="1"/>
  <c r="A86" i="7" s="1"/>
  <c r="A105" i="7" s="1"/>
  <c r="B104" i="7"/>
  <c r="A28" i="7"/>
  <c r="A47" i="7" s="1"/>
  <c r="A66" i="7" s="1"/>
  <c r="A85" i="7" s="1"/>
  <c r="A104" i="7" s="1"/>
  <c r="D103" i="7"/>
  <c r="A27" i="7"/>
  <c r="A46" i="7" s="1"/>
  <c r="A65" i="7" s="1"/>
  <c r="A84" i="7" s="1"/>
  <c r="A103" i="7" s="1"/>
  <c r="F102" i="7"/>
  <c r="A26" i="7"/>
  <c r="A45" i="7" s="1"/>
  <c r="A64" i="7" s="1"/>
  <c r="A83" i="7" s="1"/>
  <c r="A102" i="7" s="1"/>
  <c r="J25" i="7"/>
  <c r="I25" i="7"/>
  <c r="H25" i="7"/>
  <c r="G25" i="7"/>
  <c r="F25" i="7"/>
  <c r="E25" i="7"/>
  <c r="D25" i="7"/>
  <c r="C25" i="7"/>
  <c r="B25" i="7"/>
  <c r="A25" i="7"/>
  <c r="A44" i="7" s="1"/>
  <c r="A63" i="7" s="1"/>
  <c r="A82" i="7" s="1"/>
  <c r="A101" i="7" s="1"/>
  <c r="B113" i="7"/>
  <c r="B111" i="7"/>
  <c r="C110" i="7"/>
  <c r="D109" i="7"/>
  <c r="B109" i="7"/>
  <c r="C108" i="7"/>
  <c r="C107" i="7"/>
  <c r="E106" i="7"/>
  <c r="D106" i="7"/>
  <c r="C106" i="7"/>
  <c r="B106" i="7"/>
  <c r="D105" i="7"/>
  <c r="B105" i="7"/>
  <c r="D104" i="7"/>
  <c r="C104" i="7"/>
  <c r="E103" i="7"/>
  <c r="C103" i="7"/>
  <c r="B103" i="7"/>
  <c r="G102" i="7"/>
  <c r="C102" i="7"/>
  <c r="B102" i="7"/>
  <c r="C22" i="7"/>
  <c r="C117" i="7"/>
  <c r="B41" i="7"/>
  <c r="B98" i="7"/>
  <c r="B79" i="7"/>
  <c r="B60" i="7"/>
  <c r="Z31" i="7" l="1"/>
  <c r="AB27" i="7"/>
  <c r="AC26" i="7"/>
  <c r="Y35" i="7"/>
  <c r="AA28" i="7"/>
  <c r="AC27" i="7"/>
  <c r="Y33" i="7"/>
  <c r="Y28" i="7"/>
  <c r="Y27" i="7"/>
  <c r="AB26" i="7"/>
  <c r="Y30" i="7"/>
  <c r="Z29" i="7"/>
  <c r="AA26" i="7"/>
  <c r="AA29" i="7"/>
  <c r="Y32" i="7"/>
  <c r="AE26" i="7"/>
  <c r="Z26" i="7"/>
  <c r="Y26" i="7"/>
  <c r="AD27" i="7"/>
  <c r="Z32" i="7"/>
  <c r="Z30" i="7"/>
  <c r="AA31" i="7"/>
  <c r="Z27" i="7"/>
  <c r="Z34" i="7"/>
  <c r="AB31" i="7"/>
  <c r="AD26" i="7"/>
  <c r="Y36" i="7"/>
  <c r="AB49" i="7"/>
  <c r="Y37" i="7"/>
  <c r="Y29" i="7"/>
  <c r="AC28" i="7"/>
  <c r="Z36" i="7"/>
  <c r="AB30" i="7"/>
  <c r="AA30" i="7"/>
  <c r="AA33" i="7"/>
  <c r="Z51" i="7"/>
  <c r="AB29" i="7"/>
  <c r="AA27" i="7"/>
  <c r="AA32" i="7"/>
  <c r="AB28" i="7"/>
  <c r="Z35" i="7"/>
  <c r="Y31" i="7"/>
  <c r="Z33" i="7"/>
  <c r="Z28" i="7"/>
  <c r="Y34" i="7"/>
  <c r="AA50" i="7"/>
  <c r="Y52" i="7"/>
  <c r="I29" i="7"/>
  <c r="I48" i="7" s="1"/>
  <c r="I30" i="7"/>
  <c r="I49" i="7" s="1"/>
  <c r="I27" i="7"/>
  <c r="I46" i="7" s="1"/>
  <c r="I26" i="7"/>
  <c r="I45" i="7" s="1"/>
  <c r="I28" i="7"/>
  <c r="I47" i="7" s="1"/>
  <c r="B44" i="7"/>
  <c r="B63" i="7" s="1"/>
  <c r="B82" i="7" s="1"/>
  <c r="B101" i="7" s="1"/>
  <c r="B40" i="7"/>
  <c r="B59" i="7" s="1"/>
  <c r="B38" i="7"/>
  <c r="B57" i="7" s="1"/>
  <c r="B76" i="7" s="1"/>
  <c r="B95" i="7" s="1"/>
  <c r="B39" i="7"/>
  <c r="B58" i="7" s="1"/>
  <c r="B77" i="7" s="1"/>
  <c r="B96" i="7" s="1"/>
  <c r="J26" i="7"/>
  <c r="J45" i="7" s="1"/>
  <c r="J64" i="7" s="1"/>
  <c r="J83" i="7" s="1"/>
  <c r="J27" i="7"/>
  <c r="J46" i="7" s="1"/>
  <c r="C44" i="7"/>
  <c r="C63" i="7" s="1"/>
  <c r="C82" i="7" s="1"/>
  <c r="C101" i="7" s="1"/>
  <c r="C37" i="7"/>
  <c r="C56" i="7" s="1"/>
  <c r="C40" i="7"/>
  <c r="C59" i="7" s="1"/>
  <c r="C38" i="7"/>
  <c r="C57" i="7" s="1"/>
  <c r="C39" i="7"/>
  <c r="C58" i="7" s="1"/>
  <c r="C77" i="7" s="1"/>
  <c r="C96" i="7" s="1"/>
  <c r="O20" i="7" s="1"/>
  <c r="D34" i="7"/>
  <c r="D53" i="7" s="1"/>
  <c r="D39" i="7"/>
  <c r="D58" i="7" s="1"/>
  <c r="D37" i="7"/>
  <c r="D56" i="7" s="1"/>
  <c r="D36" i="7"/>
  <c r="D55" i="7" s="1"/>
  <c r="D35" i="7"/>
  <c r="D54" i="7" s="1"/>
  <c r="D38" i="7"/>
  <c r="D57" i="7" s="1"/>
  <c r="E37" i="7"/>
  <c r="E56" i="7" s="1"/>
  <c r="E35" i="7"/>
  <c r="E54" i="7" s="1"/>
  <c r="E33" i="7"/>
  <c r="E52" i="7" s="1"/>
  <c r="E38" i="7"/>
  <c r="E57" i="7" s="1"/>
  <c r="E36" i="7"/>
  <c r="E55" i="7" s="1"/>
  <c r="E32" i="7"/>
  <c r="E51" i="7" s="1"/>
  <c r="E34" i="7"/>
  <c r="E53" i="7" s="1"/>
  <c r="F30" i="7"/>
  <c r="F49" i="7" s="1"/>
  <c r="F33" i="7"/>
  <c r="F52" i="7" s="1"/>
  <c r="F32" i="7"/>
  <c r="F51" i="7" s="1"/>
  <c r="F70" i="7" s="1"/>
  <c r="F89" i="7" s="1"/>
  <c r="R13" i="7" s="1"/>
  <c r="F36" i="7"/>
  <c r="F55" i="7" s="1"/>
  <c r="F34" i="7"/>
  <c r="F53" i="7" s="1"/>
  <c r="F29" i="7"/>
  <c r="F48" i="7" s="1"/>
  <c r="F35" i="7"/>
  <c r="F54" i="7" s="1"/>
  <c r="F31" i="7"/>
  <c r="F50" i="7" s="1"/>
  <c r="G34" i="7"/>
  <c r="G53" i="7" s="1"/>
  <c r="G33" i="7"/>
  <c r="G52" i="7" s="1"/>
  <c r="G30" i="7"/>
  <c r="G49" i="7" s="1"/>
  <c r="G32" i="7"/>
  <c r="G51" i="7" s="1"/>
  <c r="G29" i="7"/>
  <c r="G48" i="7" s="1"/>
  <c r="G31" i="7"/>
  <c r="G50" i="7" s="1"/>
  <c r="G28" i="7"/>
  <c r="G47" i="7" s="1"/>
  <c r="H27" i="7"/>
  <c r="H46" i="7" s="1"/>
  <c r="H32" i="7"/>
  <c r="H51" i="7" s="1"/>
  <c r="H29" i="7"/>
  <c r="H48" i="7" s="1"/>
  <c r="H31" i="7"/>
  <c r="H50" i="7" s="1"/>
  <c r="H28" i="7"/>
  <c r="H47" i="7" s="1"/>
  <c r="H30" i="7"/>
  <c r="H49" i="7" s="1"/>
  <c r="K9" i="7"/>
  <c r="W8" i="7"/>
  <c r="J44" i="7"/>
  <c r="J63" i="7" s="1"/>
  <c r="J82" i="7" s="1"/>
  <c r="J101" i="7" s="1"/>
  <c r="J31" i="7"/>
  <c r="J50" i="7" s="1"/>
  <c r="J37" i="7"/>
  <c r="J56" i="7" s="1"/>
  <c r="J35" i="7"/>
  <c r="J54" i="7" s="1"/>
  <c r="J32" i="7"/>
  <c r="J51" i="7" s="1"/>
  <c r="J33" i="7"/>
  <c r="J52" i="7" s="1"/>
  <c r="J29" i="7"/>
  <c r="J48" i="7" s="1"/>
  <c r="J30" i="7"/>
  <c r="J49" i="7" s="1"/>
  <c r="J38" i="7"/>
  <c r="J57" i="7" s="1"/>
  <c r="J76" i="7" s="1"/>
  <c r="J95" i="7" s="1"/>
  <c r="V19" i="7" s="1"/>
  <c r="J40" i="7"/>
  <c r="J59" i="7" s="1"/>
  <c r="J36" i="7"/>
  <c r="J55" i="7" s="1"/>
  <c r="J34" i="7"/>
  <c r="J53" i="7" s="1"/>
  <c r="J28" i="7"/>
  <c r="J47" i="7" s="1"/>
  <c r="J39" i="7"/>
  <c r="J58" i="7" s="1"/>
  <c r="I44" i="7"/>
  <c r="I63" i="7" s="1"/>
  <c r="I82" i="7" s="1"/>
  <c r="I101" i="7" s="1"/>
  <c r="I34" i="7"/>
  <c r="I53" i="7" s="1"/>
  <c r="I39" i="7"/>
  <c r="I58" i="7" s="1"/>
  <c r="I37" i="7"/>
  <c r="I56" i="7" s="1"/>
  <c r="I35" i="7"/>
  <c r="I54" i="7" s="1"/>
  <c r="I38" i="7"/>
  <c r="I57" i="7" s="1"/>
  <c r="I36" i="7"/>
  <c r="I55" i="7" s="1"/>
  <c r="I31" i="7"/>
  <c r="I50" i="7" s="1"/>
  <c r="I40" i="7"/>
  <c r="I59" i="7" s="1"/>
  <c r="I78" i="7" s="1"/>
  <c r="I97" i="7" s="1"/>
  <c r="U21" i="7" s="1"/>
  <c r="I33" i="7"/>
  <c r="I52" i="7" s="1"/>
  <c r="I32" i="7"/>
  <c r="I51" i="7" s="1"/>
  <c r="I70" i="7" s="1"/>
  <c r="I89" i="7" s="1"/>
  <c r="U13" i="7" s="1"/>
  <c r="D44" i="7"/>
  <c r="D63" i="7" s="1"/>
  <c r="D82" i="7" s="1"/>
  <c r="D101" i="7" s="1"/>
  <c r="D40" i="7"/>
  <c r="D59" i="7" s="1"/>
  <c r="E44" i="7"/>
  <c r="E63" i="7" s="1"/>
  <c r="E82" i="7" s="1"/>
  <c r="E101" i="7" s="1"/>
  <c r="E39" i="7"/>
  <c r="E58" i="7" s="1"/>
  <c r="E40" i="7"/>
  <c r="E59" i="7" s="1"/>
  <c r="F44" i="7"/>
  <c r="F63" i="7" s="1"/>
  <c r="F82" i="7" s="1"/>
  <c r="F101" i="7" s="1"/>
  <c r="F40" i="7"/>
  <c r="F59" i="7" s="1"/>
  <c r="F37" i="7"/>
  <c r="F56" i="7" s="1"/>
  <c r="F38" i="7"/>
  <c r="F57" i="7" s="1"/>
  <c r="F39" i="7"/>
  <c r="F58" i="7" s="1"/>
  <c r="G44" i="7"/>
  <c r="G63" i="7" s="1"/>
  <c r="G82" i="7" s="1"/>
  <c r="G101" i="7" s="1"/>
  <c r="G38" i="7"/>
  <c r="G57" i="7" s="1"/>
  <c r="G36" i="7"/>
  <c r="G55" i="7" s="1"/>
  <c r="G39" i="7"/>
  <c r="G58" i="7" s="1"/>
  <c r="G40" i="7"/>
  <c r="G59" i="7" s="1"/>
  <c r="G37" i="7"/>
  <c r="G56" i="7" s="1"/>
  <c r="G35" i="7"/>
  <c r="G54" i="7" s="1"/>
  <c r="H44" i="7"/>
  <c r="H63" i="7" s="1"/>
  <c r="H82" i="7" s="1"/>
  <c r="H101" i="7" s="1"/>
  <c r="H38" i="7"/>
  <c r="H57" i="7" s="1"/>
  <c r="H36" i="7"/>
  <c r="H55" i="7" s="1"/>
  <c r="H40" i="7"/>
  <c r="H59" i="7" s="1"/>
  <c r="H35" i="7"/>
  <c r="H54" i="7" s="1"/>
  <c r="H37" i="7"/>
  <c r="H56" i="7" s="1"/>
  <c r="H34" i="7"/>
  <c r="H53" i="7" s="1"/>
  <c r="H39" i="7"/>
  <c r="H58" i="7" s="1"/>
  <c r="H33" i="7"/>
  <c r="H52" i="7" s="1"/>
  <c r="H71" i="7" s="1"/>
  <c r="H90" i="7" s="1"/>
  <c r="T14" i="7" s="1"/>
  <c r="H102" i="7"/>
  <c r="F104" i="7"/>
  <c r="G103" i="7"/>
  <c r="D108" i="7"/>
  <c r="E107" i="7"/>
  <c r="C112" i="7"/>
  <c r="C111" i="7"/>
  <c r="I76" i="7" l="1"/>
  <c r="I95" i="7" s="1"/>
  <c r="U19" i="7" s="1"/>
  <c r="U38" i="7" s="1"/>
  <c r="U57" i="7" s="1"/>
  <c r="AF57" i="7" s="1"/>
  <c r="F77" i="7"/>
  <c r="F96" i="7" s="1"/>
  <c r="R20" i="7" s="1"/>
  <c r="R77" i="7" s="1"/>
  <c r="AC77" i="7" s="1"/>
  <c r="I73" i="7"/>
  <c r="I92" i="7" s="1"/>
  <c r="U16" i="7" s="1"/>
  <c r="F76" i="7"/>
  <c r="F95" i="7" s="1"/>
  <c r="R19" i="7" s="1"/>
  <c r="I75" i="7"/>
  <c r="I94" i="7" s="1"/>
  <c r="U18" i="7" s="1"/>
  <c r="J78" i="7"/>
  <c r="J97" i="7" s="1"/>
  <c r="V21" i="7" s="1"/>
  <c r="V78" i="7" s="1"/>
  <c r="AG78" i="7" s="1"/>
  <c r="J69" i="7"/>
  <c r="J88" i="7" s="1"/>
  <c r="V12" i="7" s="1"/>
  <c r="V31" i="7" s="1"/>
  <c r="V50" i="7" s="1"/>
  <c r="AG50" i="7" s="1"/>
  <c r="F78" i="7"/>
  <c r="F97" i="7" s="1"/>
  <c r="R21" i="7" s="1"/>
  <c r="R78" i="7" s="1"/>
  <c r="AC78" i="7" s="1"/>
  <c r="I71" i="7"/>
  <c r="I90" i="7" s="1"/>
  <c r="U14" i="7" s="1"/>
  <c r="U71" i="7" s="1"/>
  <c r="AF71" i="7" s="1"/>
  <c r="I69" i="7"/>
  <c r="I88" i="7" s="1"/>
  <c r="U12" i="7" s="1"/>
  <c r="U69" i="7" s="1"/>
  <c r="AF69" i="7" s="1"/>
  <c r="J68" i="7"/>
  <c r="J87" i="7" s="1"/>
  <c r="V11" i="7" s="1"/>
  <c r="V68" i="7" s="1"/>
  <c r="AG68" i="7" s="1"/>
  <c r="I116" i="7"/>
  <c r="U78" i="7"/>
  <c r="AF78" i="7" s="1"/>
  <c r="U40" i="7"/>
  <c r="U59" i="7" s="1"/>
  <c r="AF59" i="7" s="1"/>
  <c r="R76" i="7"/>
  <c r="AC76" i="7" s="1"/>
  <c r="R38" i="7"/>
  <c r="R57" i="7" s="1"/>
  <c r="AC57" i="7" s="1"/>
  <c r="U76" i="7"/>
  <c r="AF76" i="7" s="1"/>
  <c r="R70" i="7"/>
  <c r="AC70" i="7" s="1"/>
  <c r="R32" i="7"/>
  <c r="R51" i="7" s="1"/>
  <c r="AC51" i="7" s="1"/>
  <c r="O77" i="7"/>
  <c r="Z77" i="7" s="1"/>
  <c r="O39" i="7"/>
  <c r="O58" i="7" s="1"/>
  <c r="Z58" i="7" s="1"/>
  <c r="T71" i="7"/>
  <c r="AE71" i="7" s="1"/>
  <c r="T33" i="7"/>
  <c r="T52" i="7" s="1"/>
  <c r="AE52" i="7" s="1"/>
  <c r="U73" i="7"/>
  <c r="AF73" i="7" s="1"/>
  <c r="U35" i="7"/>
  <c r="U54" i="7" s="1"/>
  <c r="AF54" i="7" s="1"/>
  <c r="U75" i="7"/>
  <c r="AF75" i="7" s="1"/>
  <c r="U37" i="7"/>
  <c r="U56" i="7" s="1"/>
  <c r="AF56" i="7" s="1"/>
  <c r="U70" i="7"/>
  <c r="AF70" i="7" s="1"/>
  <c r="U32" i="7"/>
  <c r="U51" i="7" s="1"/>
  <c r="AF51" i="7" s="1"/>
  <c r="V76" i="7"/>
  <c r="AG76" i="7" s="1"/>
  <c r="V38" i="7"/>
  <c r="V57" i="7" s="1"/>
  <c r="AG57" i="7" s="1"/>
  <c r="G72" i="7"/>
  <c r="G91" i="7" s="1"/>
  <c r="S15" i="7" s="1"/>
  <c r="C78" i="7"/>
  <c r="C97" i="7" s="1"/>
  <c r="O21" i="7" s="1"/>
  <c r="E73" i="7"/>
  <c r="E92" i="7" s="1"/>
  <c r="E111" i="7" s="1"/>
  <c r="C115" i="7"/>
  <c r="N19" i="7"/>
  <c r="B114" i="7"/>
  <c r="H65" i="7"/>
  <c r="H84" i="7" s="1"/>
  <c r="F71" i="7"/>
  <c r="F90" i="7" s="1"/>
  <c r="E75" i="7"/>
  <c r="E94" i="7" s="1"/>
  <c r="C76" i="7"/>
  <c r="C95" i="7" s="1"/>
  <c r="B78" i="7"/>
  <c r="B97" i="7" s="1"/>
  <c r="G66" i="7"/>
  <c r="G85" i="7" s="1"/>
  <c r="F68" i="7"/>
  <c r="F87" i="7" s="1"/>
  <c r="D76" i="7"/>
  <c r="D95" i="7" s="1"/>
  <c r="F108" i="7"/>
  <c r="G69" i="7"/>
  <c r="G88" i="7" s="1"/>
  <c r="F69" i="7"/>
  <c r="F88" i="7" s="1"/>
  <c r="E72" i="7"/>
  <c r="E91" i="7" s="1"/>
  <c r="D73" i="7"/>
  <c r="D92" i="7" s="1"/>
  <c r="C75" i="7"/>
  <c r="C94" i="7" s="1"/>
  <c r="I66" i="7"/>
  <c r="I85" i="7" s="1"/>
  <c r="H70" i="7"/>
  <c r="H89" i="7" s="1"/>
  <c r="H68" i="7"/>
  <c r="H87" i="7" s="1"/>
  <c r="G67" i="7"/>
  <c r="G86" i="7" s="1"/>
  <c r="F73" i="7"/>
  <c r="F92" i="7" s="1"/>
  <c r="E70" i="7"/>
  <c r="E89" i="7" s="1"/>
  <c r="D74" i="7"/>
  <c r="D93" i="7" s="1"/>
  <c r="I64" i="7"/>
  <c r="I83" i="7" s="1"/>
  <c r="H66" i="7"/>
  <c r="H85" i="7" s="1"/>
  <c r="G70" i="7"/>
  <c r="G89" i="7" s="1"/>
  <c r="F67" i="7"/>
  <c r="F86" i="7" s="1"/>
  <c r="E74" i="7"/>
  <c r="E93" i="7" s="1"/>
  <c r="D75" i="7"/>
  <c r="D94" i="7" s="1"/>
  <c r="J65" i="7"/>
  <c r="J84" i="7" s="1"/>
  <c r="I65" i="7"/>
  <c r="I84" i="7" s="1"/>
  <c r="H69" i="7"/>
  <c r="H88" i="7" s="1"/>
  <c r="G68" i="7"/>
  <c r="G87" i="7" s="1"/>
  <c r="F72" i="7"/>
  <c r="F91" i="7" s="1"/>
  <c r="E76" i="7"/>
  <c r="E95" i="7" s="1"/>
  <c r="D77" i="7"/>
  <c r="D96" i="7" s="1"/>
  <c r="V7" i="7"/>
  <c r="J102" i="7"/>
  <c r="I68" i="7"/>
  <c r="I87" i="7" s="1"/>
  <c r="H67" i="7"/>
  <c r="H86" i="7" s="1"/>
  <c r="G71" i="7"/>
  <c r="G90" i="7" s="1"/>
  <c r="F74" i="7"/>
  <c r="F93" i="7" s="1"/>
  <c r="E71" i="7"/>
  <c r="E90" i="7" s="1"/>
  <c r="D72" i="7"/>
  <c r="D91" i="7" s="1"/>
  <c r="N20" i="7"/>
  <c r="B115" i="7"/>
  <c r="I67" i="7"/>
  <c r="I86" i="7" s="1"/>
  <c r="K10" i="7"/>
  <c r="W9" i="7"/>
  <c r="J106" i="7"/>
  <c r="I107" i="7"/>
  <c r="I109" i="7"/>
  <c r="I114" i="7"/>
  <c r="H109" i="7"/>
  <c r="F115" i="7"/>
  <c r="I111" i="7"/>
  <c r="F114" i="7"/>
  <c r="I113" i="7"/>
  <c r="I108" i="7"/>
  <c r="J114" i="7"/>
  <c r="H77" i="7"/>
  <c r="H96" i="7" s="1"/>
  <c r="T20" i="7" s="1"/>
  <c r="J72" i="7"/>
  <c r="J91" i="7" s="1"/>
  <c r="V15" i="7" s="1"/>
  <c r="J73" i="7"/>
  <c r="J92" i="7" s="1"/>
  <c r="V16" i="7" s="1"/>
  <c r="J74" i="7"/>
  <c r="J93" i="7" s="1"/>
  <c r="V17" i="7" s="1"/>
  <c r="J75" i="7"/>
  <c r="J94" i="7" s="1"/>
  <c r="V18" i="7" s="1"/>
  <c r="I72" i="7"/>
  <c r="I91" i="7" s="1"/>
  <c r="U15" i="7" s="1"/>
  <c r="I74" i="7"/>
  <c r="I93" i="7" s="1"/>
  <c r="U17" i="7" s="1"/>
  <c r="F75" i="7"/>
  <c r="F94" i="7" s="1"/>
  <c r="R18" i="7" s="1"/>
  <c r="H76" i="7"/>
  <c r="H95" i="7" s="1"/>
  <c r="T19" i="7" s="1"/>
  <c r="H75" i="7"/>
  <c r="H94" i="7" s="1"/>
  <c r="T18" i="7" s="1"/>
  <c r="J67" i="7"/>
  <c r="J86" i="7" s="1"/>
  <c r="V10" i="7" s="1"/>
  <c r="J77" i="7"/>
  <c r="J96" i="7" s="1"/>
  <c r="V20" i="7" s="1"/>
  <c r="J71" i="7"/>
  <c r="J90" i="7" s="1"/>
  <c r="V14" i="7" s="1"/>
  <c r="G73" i="7"/>
  <c r="G92" i="7" s="1"/>
  <c r="S16" i="7" s="1"/>
  <c r="G78" i="7"/>
  <c r="G97" i="7" s="1"/>
  <c r="S21" i="7" s="1"/>
  <c r="H74" i="7"/>
  <c r="H93" i="7" s="1"/>
  <c r="T17" i="7" s="1"/>
  <c r="J66" i="7"/>
  <c r="J85" i="7" s="1"/>
  <c r="V9" i="7" s="1"/>
  <c r="J70" i="7"/>
  <c r="J89" i="7" s="1"/>
  <c r="V13" i="7" s="1"/>
  <c r="H73" i="7"/>
  <c r="H92" i="7" s="1"/>
  <c r="T16" i="7" s="1"/>
  <c r="G77" i="7"/>
  <c r="G96" i="7" s="1"/>
  <c r="S20" i="7" s="1"/>
  <c r="H78" i="7"/>
  <c r="H97" i="7" s="1"/>
  <c r="T21" i="7" s="1"/>
  <c r="G74" i="7"/>
  <c r="G93" i="7" s="1"/>
  <c r="S17" i="7" s="1"/>
  <c r="E78" i="7"/>
  <c r="E97" i="7" s="1"/>
  <c r="Q21" i="7" s="1"/>
  <c r="G76" i="7"/>
  <c r="G95" i="7" s="1"/>
  <c r="S19" i="7" s="1"/>
  <c r="E77" i="7"/>
  <c r="E96" i="7" s="1"/>
  <c r="Q20" i="7" s="1"/>
  <c r="G24" i="7"/>
  <c r="R2" i="7" s="1"/>
  <c r="D78" i="7"/>
  <c r="D97" i="7" s="1"/>
  <c r="P21" i="7" s="1"/>
  <c r="H72" i="7"/>
  <c r="H91" i="7" s="1"/>
  <c r="T15" i="7" s="1"/>
  <c r="G75" i="7"/>
  <c r="G94" i="7" s="1"/>
  <c r="S18" i="7" s="1"/>
  <c r="I77" i="7"/>
  <c r="I96" i="7" s="1"/>
  <c r="U20" i="7" s="1"/>
  <c r="G43" i="7"/>
  <c r="T2" i="7" s="1"/>
  <c r="Q16" i="7" l="1"/>
  <c r="R39" i="7"/>
  <c r="R58" i="7" s="1"/>
  <c r="AC58" i="7" s="1"/>
  <c r="U31" i="7"/>
  <c r="U50" i="7" s="1"/>
  <c r="AF50" i="7" s="1"/>
  <c r="R40" i="7"/>
  <c r="R59" i="7" s="1"/>
  <c r="AC59" i="7" s="1"/>
  <c r="J107" i="7"/>
  <c r="V69" i="7"/>
  <c r="AG69" i="7" s="1"/>
  <c r="J116" i="7"/>
  <c r="F116" i="7"/>
  <c r="V40" i="7"/>
  <c r="V59" i="7" s="1"/>
  <c r="AG59" i="7" s="1"/>
  <c r="U33" i="7"/>
  <c r="U52" i="7" s="1"/>
  <c r="AF52" i="7" s="1"/>
  <c r="V30" i="7"/>
  <c r="V49" i="7" s="1"/>
  <c r="AG49" i="7" s="1"/>
  <c r="AF31" i="7"/>
  <c r="AE33" i="7"/>
  <c r="V77" i="7"/>
  <c r="AG77" i="7" s="1"/>
  <c r="V39" i="7"/>
  <c r="V58" i="7" s="1"/>
  <c r="AG58" i="7" s="1"/>
  <c r="P78" i="7"/>
  <c r="AA78" i="7" s="1"/>
  <c r="P40" i="7"/>
  <c r="P59" i="7" s="1"/>
  <c r="AA59" i="7" s="1"/>
  <c r="T73" i="7"/>
  <c r="AE73" i="7" s="1"/>
  <c r="T35" i="7"/>
  <c r="T54" i="7" s="1"/>
  <c r="V67" i="7"/>
  <c r="AG67" i="7" s="1"/>
  <c r="V29" i="7"/>
  <c r="V48" i="7" s="1"/>
  <c r="AG48" i="7" s="1"/>
  <c r="V73" i="7"/>
  <c r="AG73" i="7" s="1"/>
  <c r="V35" i="7"/>
  <c r="V54" i="7" s="1"/>
  <c r="AG54" i="7" s="1"/>
  <c r="T34" i="7"/>
  <c r="T53" i="7" s="1"/>
  <c r="AE53" i="7" s="1"/>
  <c r="T72" i="7"/>
  <c r="AE72" i="7" s="1"/>
  <c r="O78" i="7"/>
  <c r="Z78" i="7" s="1"/>
  <c r="O40" i="7"/>
  <c r="O59" i="7" s="1"/>
  <c r="V74" i="7"/>
  <c r="AG74" i="7" s="1"/>
  <c r="V36" i="7"/>
  <c r="V55" i="7" s="1"/>
  <c r="AG55" i="7" s="1"/>
  <c r="V32" i="7"/>
  <c r="V51" i="7" s="1"/>
  <c r="AG51" i="7" s="1"/>
  <c r="V70" i="7"/>
  <c r="AG70" i="7" s="1"/>
  <c r="T76" i="7"/>
  <c r="AE76" i="7" s="1"/>
  <c r="T38" i="7"/>
  <c r="T57" i="7" s="1"/>
  <c r="AE57" i="7" s="1"/>
  <c r="S72" i="7"/>
  <c r="AD72" i="7" s="1"/>
  <c r="S34" i="7"/>
  <c r="S53" i="7" s="1"/>
  <c r="AD53" i="7" s="1"/>
  <c r="S36" i="7"/>
  <c r="S55" i="7" s="1"/>
  <c r="S74" i="7"/>
  <c r="AD74" i="7" s="1"/>
  <c r="T75" i="7"/>
  <c r="AE75" i="7" s="1"/>
  <c r="T37" i="7"/>
  <c r="T56" i="7" s="1"/>
  <c r="AE56" i="7" s="1"/>
  <c r="Q77" i="7"/>
  <c r="AB77" i="7" s="1"/>
  <c r="Q39" i="7"/>
  <c r="Q58" i="7" s="1"/>
  <c r="AB58" i="7" s="1"/>
  <c r="T39" i="7"/>
  <c r="T58" i="7" s="1"/>
  <c r="AE58" i="7" s="1"/>
  <c r="T77" i="7"/>
  <c r="AE77" i="7" s="1"/>
  <c r="S76" i="7"/>
  <c r="AD76" i="7" s="1"/>
  <c r="S38" i="7"/>
  <c r="S57" i="7" s="1"/>
  <c r="AD57" i="7" s="1"/>
  <c r="T74" i="7"/>
  <c r="AE74" i="7" s="1"/>
  <c r="T36" i="7"/>
  <c r="T55" i="7" s="1"/>
  <c r="AE55" i="7" s="1"/>
  <c r="R37" i="7"/>
  <c r="R56" i="7" s="1"/>
  <c r="R75" i="7"/>
  <c r="AC75" i="7" s="1"/>
  <c r="G110" i="7"/>
  <c r="S77" i="7"/>
  <c r="AD77" i="7" s="1"/>
  <c r="S39" i="7"/>
  <c r="S58" i="7" s="1"/>
  <c r="AD58" i="7" s="1"/>
  <c r="V72" i="7"/>
  <c r="AG72" i="7" s="1"/>
  <c r="V34" i="7"/>
  <c r="V53" i="7" s="1"/>
  <c r="AG53" i="7" s="1"/>
  <c r="V66" i="7"/>
  <c r="AG66" i="7" s="1"/>
  <c r="V28" i="7"/>
  <c r="V47" i="7" s="1"/>
  <c r="AG47" i="7" s="1"/>
  <c r="Q78" i="7"/>
  <c r="AB78" i="7" s="1"/>
  <c r="Q40" i="7"/>
  <c r="Q59" i="7" s="1"/>
  <c r="AB59" i="7" s="1"/>
  <c r="S78" i="7"/>
  <c r="AD78" i="7" s="1"/>
  <c r="S40" i="7"/>
  <c r="S59" i="7" s="1"/>
  <c r="AD59" i="7" s="1"/>
  <c r="U74" i="7"/>
  <c r="AF74" i="7" s="1"/>
  <c r="U36" i="7"/>
  <c r="U55" i="7" s="1"/>
  <c r="AF55" i="7" s="1"/>
  <c r="Q73" i="7"/>
  <c r="AB73" i="7" s="1"/>
  <c r="Q35" i="7"/>
  <c r="Q54" i="7" s="1"/>
  <c r="AB54" i="7" s="1"/>
  <c r="N76" i="7"/>
  <c r="Y76" i="7" s="1"/>
  <c r="N38" i="7"/>
  <c r="N57" i="7" s="1"/>
  <c r="Y57" i="7" s="1"/>
  <c r="U77" i="7"/>
  <c r="AF77" i="7" s="1"/>
  <c r="U39" i="7"/>
  <c r="U58" i="7" s="1"/>
  <c r="AF58" i="7" s="1"/>
  <c r="S73" i="7"/>
  <c r="AD73" i="7" s="1"/>
  <c r="S35" i="7"/>
  <c r="S54" i="7" s="1"/>
  <c r="AD54" i="7" s="1"/>
  <c r="U72" i="7"/>
  <c r="AF72" i="7" s="1"/>
  <c r="U34" i="7"/>
  <c r="U53" i="7" s="1"/>
  <c r="N77" i="7"/>
  <c r="Y77" i="7" s="1"/>
  <c r="N39" i="7"/>
  <c r="N58" i="7" s="1"/>
  <c r="Y58" i="7" s="1"/>
  <c r="V26" i="7"/>
  <c r="V45" i="7" s="1"/>
  <c r="AG45" i="7" s="1"/>
  <c r="V64" i="7"/>
  <c r="AG64" i="7" s="1"/>
  <c r="S75" i="7"/>
  <c r="AD75" i="7" s="1"/>
  <c r="S37" i="7"/>
  <c r="S56" i="7" s="1"/>
  <c r="AD56" i="7" s="1"/>
  <c r="T78" i="7"/>
  <c r="AE78" i="7" s="1"/>
  <c r="T40" i="7"/>
  <c r="T59" i="7" s="1"/>
  <c r="AE59" i="7" s="1"/>
  <c r="V71" i="7"/>
  <c r="AG71" i="7" s="1"/>
  <c r="V33" i="7"/>
  <c r="V52" i="7" s="1"/>
  <c r="V75" i="7"/>
  <c r="AG75" i="7" s="1"/>
  <c r="V37" i="7"/>
  <c r="V56" i="7" s="1"/>
  <c r="AG56" i="7" s="1"/>
  <c r="AF37" i="7"/>
  <c r="C116" i="7"/>
  <c r="AC40" i="7"/>
  <c r="AF32" i="7"/>
  <c r="AG31" i="7"/>
  <c r="AF35" i="7"/>
  <c r="AC38" i="7"/>
  <c r="AG40" i="7"/>
  <c r="AC39" i="7"/>
  <c r="AA40" i="7"/>
  <c r="AF33" i="7"/>
  <c r="AF38" i="7"/>
  <c r="AF40" i="7"/>
  <c r="AG38" i="7"/>
  <c r="AC32" i="7"/>
  <c r="Z39" i="7"/>
  <c r="P15" i="7"/>
  <c r="D110" i="7"/>
  <c r="P20" i="7"/>
  <c r="D115" i="7"/>
  <c r="P18" i="7"/>
  <c r="D113" i="7"/>
  <c r="P17" i="7"/>
  <c r="D112" i="7"/>
  <c r="P16" i="7"/>
  <c r="D111" i="7"/>
  <c r="N21" i="7"/>
  <c r="B116" i="7"/>
  <c r="Q14" i="7"/>
  <c r="E109" i="7"/>
  <c r="Q19" i="7"/>
  <c r="E114" i="7"/>
  <c r="Q17" i="7"/>
  <c r="E112" i="7"/>
  <c r="Q13" i="7"/>
  <c r="E108" i="7"/>
  <c r="Q15" i="7"/>
  <c r="E110" i="7"/>
  <c r="O19" i="7"/>
  <c r="C114" i="7"/>
  <c r="V8" i="7"/>
  <c r="J103" i="7"/>
  <c r="R17" i="7"/>
  <c r="F112" i="7"/>
  <c r="R15" i="7"/>
  <c r="F110" i="7"/>
  <c r="R10" i="7"/>
  <c r="F105" i="7"/>
  <c r="R16" i="7"/>
  <c r="F111" i="7"/>
  <c r="R12" i="7"/>
  <c r="F107" i="7"/>
  <c r="Q18" i="7"/>
  <c r="E113" i="7"/>
  <c r="O18" i="7"/>
  <c r="C113" i="7"/>
  <c r="S14" i="7"/>
  <c r="G109" i="7"/>
  <c r="S11" i="7"/>
  <c r="G106" i="7"/>
  <c r="S13" i="7"/>
  <c r="G108" i="7"/>
  <c r="S10" i="7"/>
  <c r="G105" i="7"/>
  <c r="S12" i="7"/>
  <c r="G107" i="7"/>
  <c r="R14" i="7"/>
  <c r="F109" i="7"/>
  <c r="U7" i="7"/>
  <c r="I102" i="7"/>
  <c r="T10" i="7"/>
  <c r="H105" i="7"/>
  <c r="T12" i="7"/>
  <c r="H107" i="7"/>
  <c r="T9" i="7"/>
  <c r="H104" i="7"/>
  <c r="T11" i="7"/>
  <c r="H106" i="7"/>
  <c r="T8" i="7"/>
  <c r="H103" i="7"/>
  <c r="S9" i="7"/>
  <c r="G104" i="7"/>
  <c r="U10" i="7"/>
  <c r="I105" i="7"/>
  <c r="U11" i="7"/>
  <c r="I106" i="7"/>
  <c r="T13" i="7"/>
  <c r="H108" i="7"/>
  <c r="P19" i="7"/>
  <c r="D114" i="7"/>
  <c r="U8" i="7"/>
  <c r="I103" i="7"/>
  <c r="U9" i="7"/>
  <c r="I104" i="7"/>
  <c r="R11" i="7"/>
  <c r="F106" i="7"/>
  <c r="K11" i="7"/>
  <c r="W10" i="7"/>
  <c r="J115" i="7"/>
  <c r="D116" i="7"/>
  <c r="H111" i="7"/>
  <c r="J105" i="7"/>
  <c r="J111" i="7"/>
  <c r="J112" i="7"/>
  <c r="H113" i="7"/>
  <c r="J110" i="7"/>
  <c r="H110" i="7"/>
  <c r="E115" i="7"/>
  <c r="J104" i="7"/>
  <c r="H114" i="7"/>
  <c r="H115" i="7"/>
  <c r="J108" i="7"/>
  <c r="G114" i="7"/>
  <c r="H112" i="7"/>
  <c r="F113" i="7"/>
  <c r="E116" i="7"/>
  <c r="G116" i="7"/>
  <c r="I112" i="7"/>
  <c r="G115" i="7"/>
  <c r="I115" i="7"/>
  <c r="G112" i="7"/>
  <c r="G111" i="7"/>
  <c r="I110" i="7"/>
  <c r="G113" i="7"/>
  <c r="H116" i="7"/>
  <c r="J109" i="7"/>
  <c r="J113" i="7"/>
  <c r="G62" i="7"/>
  <c r="P3" i="7" s="1"/>
  <c r="G81" i="7"/>
  <c r="R3" i="7" s="1"/>
  <c r="AG35" i="7" l="1"/>
  <c r="AG39" i="7"/>
  <c r="AE34" i="7"/>
  <c r="AG30" i="7"/>
  <c r="AG34" i="7"/>
  <c r="AE38" i="7"/>
  <c r="AG32" i="7"/>
  <c r="AE37" i="7"/>
  <c r="AE40" i="7"/>
  <c r="Z40" i="7"/>
  <c r="AD34" i="7"/>
  <c r="AE35" i="7"/>
  <c r="AD39" i="7"/>
  <c r="AG36" i="7"/>
  <c r="U65" i="7"/>
  <c r="AF65" i="7" s="1"/>
  <c r="U27" i="7"/>
  <c r="U46" i="7" s="1"/>
  <c r="R74" i="7"/>
  <c r="AC74" i="7" s="1"/>
  <c r="R36" i="7"/>
  <c r="R55" i="7" s="1"/>
  <c r="AC55" i="7" s="1"/>
  <c r="AE39" i="7"/>
  <c r="S68" i="7"/>
  <c r="AD68" i="7" s="1"/>
  <c r="S30" i="7"/>
  <c r="S49" i="7" s="1"/>
  <c r="AD49" i="7" s="1"/>
  <c r="Q70" i="7"/>
  <c r="AB70" i="7" s="1"/>
  <c r="Q32" i="7"/>
  <c r="Q51" i="7" s="1"/>
  <c r="AB51" i="7" s="1"/>
  <c r="P38" i="7"/>
  <c r="P57" i="7" s="1"/>
  <c r="AA57" i="7" s="1"/>
  <c r="P76" i="7"/>
  <c r="AA76" i="7" s="1"/>
  <c r="S66" i="7"/>
  <c r="AD66" i="7" s="1"/>
  <c r="S28" i="7"/>
  <c r="S47" i="7" s="1"/>
  <c r="T69" i="7"/>
  <c r="AE69" i="7" s="1"/>
  <c r="T31" i="7"/>
  <c r="T50" i="7" s="1"/>
  <c r="AE50" i="7" s="1"/>
  <c r="S69" i="7"/>
  <c r="AD69" i="7" s="1"/>
  <c r="S31" i="7"/>
  <c r="S50" i="7" s="1"/>
  <c r="AD50" i="7" s="1"/>
  <c r="S71" i="7"/>
  <c r="AD71" i="7" s="1"/>
  <c r="S33" i="7"/>
  <c r="S52" i="7" s="1"/>
  <c r="AD52" i="7" s="1"/>
  <c r="R73" i="7"/>
  <c r="AC73" i="7" s="1"/>
  <c r="R35" i="7"/>
  <c r="R54" i="7" s="1"/>
  <c r="AC54" i="7" s="1"/>
  <c r="V65" i="7"/>
  <c r="AG65" i="7" s="1"/>
  <c r="V27" i="7"/>
  <c r="V46" i="7" s="1"/>
  <c r="AG46" i="7" s="1"/>
  <c r="Q74" i="7"/>
  <c r="AB74" i="7" s="1"/>
  <c r="Q36" i="7"/>
  <c r="Q55" i="7" s="1"/>
  <c r="AB55" i="7" s="1"/>
  <c r="P73" i="7"/>
  <c r="AA73" i="7" s="1"/>
  <c r="P35" i="7"/>
  <c r="P54" i="7" s="1"/>
  <c r="AA54" i="7" s="1"/>
  <c r="P72" i="7"/>
  <c r="AA72" i="7" s="1"/>
  <c r="P34" i="7"/>
  <c r="P53" i="7" s="1"/>
  <c r="AA53" i="7" s="1"/>
  <c r="T66" i="7"/>
  <c r="AE66" i="7" s="1"/>
  <c r="T28" i="7"/>
  <c r="T47" i="7" s="1"/>
  <c r="AE47" i="7" s="1"/>
  <c r="P39" i="7"/>
  <c r="P58" i="7" s="1"/>
  <c r="P77" i="7"/>
  <c r="AA77" i="7" s="1"/>
  <c r="R69" i="7"/>
  <c r="AC69" i="7" s="1"/>
  <c r="R31" i="7"/>
  <c r="R50" i="7" s="1"/>
  <c r="AC50" i="7" s="1"/>
  <c r="R68" i="7"/>
  <c r="AC68" i="7" s="1"/>
  <c r="R30" i="7"/>
  <c r="R49" i="7" s="1"/>
  <c r="AC49" i="7" s="1"/>
  <c r="T70" i="7"/>
  <c r="AE70" i="7" s="1"/>
  <c r="T32" i="7"/>
  <c r="T51" i="7" s="1"/>
  <c r="AE51" i="7" s="1"/>
  <c r="T65" i="7"/>
  <c r="AE65" i="7" s="1"/>
  <c r="T27" i="7"/>
  <c r="T46" i="7" s="1"/>
  <c r="T67" i="7"/>
  <c r="AE67" i="7" s="1"/>
  <c r="T29" i="7"/>
  <c r="T48" i="7" s="1"/>
  <c r="AE48" i="7" s="1"/>
  <c r="S67" i="7"/>
  <c r="AD67" i="7" s="1"/>
  <c r="S29" i="7"/>
  <c r="S48" i="7" s="1"/>
  <c r="AD48" i="7" s="1"/>
  <c r="O75" i="7"/>
  <c r="Z75" i="7" s="1"/>
  <c r="O56" i="7"/>
  <c r="Z56" i="7" s="1"/>
  <c r="R29" i="7"/>
  <c r="R48" i="7" s="1"/>
  <c r="R67" i="7"/>
  <c r="AC67" i="7" s="1"/>
  <c r="O76" i="7"/>
  <c r="Z76" i="7" s="1"/>
  <c r="O38" i="7"/>
  <c r="O57" i="7" s="1"/>
  <c r="Z57" i="7" s="1"/>
  <c r="Q38" i="7"/>
  <c r="Q57" i="7" s="1"/>
  <c r="Q76" i="7"/>
  <c r="AB76" i="7" s="1"/>
  <c r="P74" i="7"/>
  <c r="AA74" i="7" s="1"/>
  <c r="P36" i="7"/>
  <c r="P55" i="7" s="1"/>
  <c r="AA55" i="7" s="1"/>
  <c r="U67" i="7"/>
  <c r="AF67" i="7" s="1"/>
  <c r="U29" i="7"/>
  <c r="U48" i="7" s="1"/>
  <c r="AF48" i="7" s="1"/>
  <c r="AD38" i="7"/>
  <c r="R71" i="7"/>
  <c r="AC71" i="7" s="1"/>
  <c r="R33" i="7"/>
  <c r="R52" i="7" s="1"/>
  <c r="AC52" i="7" s="1"/>
  <c r="N78" i="7"/>
  <c r="Y78" i="7" s="1"/>
  <c r="N40" i="7"/>
  <c r="N59" i="7" s="1"/>
  <c r="Y59" i="7" s="1"/>
  <c r="U66" i="7"/>
  <c r="AF66" i="7" s="1"/>
  <c r="U28" i="7"/>
  <c r="U47" i="7" s="1"/>
  <c r="AF47" i="7" s="1"/>
  <c r="U68" i="7"/>
  <c r="AF68" i="7" s="1"/>
  <c r="U30" i="7"/>
  <c r="U49" i="7" s="1"/>
  <c r="AF49" i="7" s="1"/>
  <c r="T68" i="7"/>
  <c r="AE68" i="7" s="1"/>
  <c r="T30" i="7"/>
  <c r="T49" i="7" s="1"/>
  <c r="AE49" i="7" s="1"/>
  <c r="U64" i="7"/>
  <c r="AF64" i="7" s="1"/>
  <c r="U26" i="7"/>
  <c r="U45" i="7" s="1"/>
  <c r="AF45" i="7" s="1"/>
  <c r="S70" i="7"/>
  <c r="AD70" i="7" s="1"/>
  <c r="S32" i="7"/>
  <c r="S51" i="7" s="1"/>
  <c r="AD51" i="7" s="1"/>
  <c r="Q37" i="7"/>
  <c r="Q56" i="7" s="1"/>
  <c r="AB56" i="7" s="1"/>
  <c r="Q75" i="7"/>
  <c r="AB75" i="7" s="1"/>
  <c r="R72" i="7"/>
  <c r="AC72" i="7" s="1"/>
  <c r="R34" i="7"/>
  <c r="R53" i="7" s="1"/>
  <c r="AC53" i="7" s="1"/>
  <c r="Q72" i="7"/>
  <c r="AB72" i="7" s="1"/>
  <c r="Q34" i="7"/>
  <c r="Q53" i="7" s="1"/>
  <c r="AB53" i="7" s="1"/>
  <c r="Q71" i="7"/>
  <c r="AB71" i="7" s="1"/>
  <c r="Q33" i="7"/>
  <c r="Q52" i="7" s="1"/>
  <c r="AB52" i="7" s="1"/>
  <c r="P75" i="7"/>
  <c r="AA75" i="7" s="1"/>
  <c r="P37" i="7"/>
  <c r="P56" i="7" s="1"/>
  <c r="AA56" i="7" s="1"/>
  <c r="AG29" i="7"/>
  <c r="AD55" i="7"/>
  <c r="AD36" i="7"/>
  <c r="AB35" i="7"/>
  <c r="AC56" i="7"/>
  <c r="AE54" i="7"/>
  <c r="Y39" i="7"/>
  <c r="AF39" i="7"/>
  <c r="AF36" i="7"/>
  <c r="AF46" i="7"/>
  <c r="AC37" i="7"/>
  <c r="AB39" i="7"/>
  <c r="AG28" i="7"/>
  <c r="AF53" i="7"/>
  <c r="AG52" i="7"/>
  <c r="AF34" i="7"/>
  <c r="AD37" i="7"/>
  <c r="AD40" i="7"/>
  <c r="AE36" i="7"/>
  <c r="AG33" i="7"/>
  <c r="AG37" i="7"/>
  <c r="Z59" i="7"/>
  <c r="AD35" i="7"/>
  <c r="Y38" i="7"/>
  <c r="AB40" i="7"/>
  <c r="G100" i="7"/>
  <c r="K12" i="7"/>
  <c r="W11" i="7"/>
  <c r="S5" i="7"/>
  <c r="AA34" i="7" l="1"/>
  <c r="Y40" i="7"/>
  <c r="AG27" i="7"/>
  <c r="AE29" i="7"/>
  <c r="AF27" i="7"/>
  <c r="AC31" i="7"/>
  <c r="Z37" i="7"/>
  <c r="AC36" i="7"/>
  <c r="AE30" i="7"/>
  <c r="AB34" i="7"/>
  <c r="AE28" i="7"/>
  <c r="AE31" i="7"/>
  <c r="AE32" i="7"/>
  <c r="AB36" i="7"/>
  <c r="AF26" i="7"/>
  <c r="AA36" i="7"/>
  <c r="AB32" i="7"/>
  <c r="AC35" i="7"/>
  <c r="AD31" i="7"/>
  <c r="AF29" i="7"/>
  <c r="AC62" i="7"/>
  <c r="AE62" i="7"/>
  <c r="AD32" i="7"/>
  <c r="AD28" i="7"/>
  <c r="AD30" i="7"/>
  <c r="AC34" i="7"/>
  <c r="AF30" i="7"/>
  <c r="AB57" i="7"/>
  <c r="AB38" i="7"/>
  <c r="AD29" i="7"/>
  <c r="AC30" i="7"/>
  <c r="AD47" i="7"/>
  <c r="AA37" i="7"/>
  <c r="AB37" i="7"/>
  <c r="AF28" i="7"/>
  <c r="Z38" i="7"/>
  <c r="AA58" i="7"/>
  <c r="AC48" i="7"/>
  <c r="AA39" i="7"/>
  <c r="AB33" i="7"/>
  <c r="AE46" i="7"/>
  <c r="AC29" i="7"/>
  <c r="AE27" i="7"/>
  <c r="AC33" i="7"/>
  <c r="AA35" i="7"/>
  <c r="AD33" i="7"/>
  <c r="AA38" i="7"/>
  <c r="K13" i="7"/>
  <c r="W12" i="7"/>
  <c r="K14" i="7" l="1"/>
  <c r="W13" i="7"/>
  <c r="D68" i="5" l="1"/>
  <c r="K15" i="7"/>
  <c r="W14" i="7"/>
  <c r="D63" i="5"/>
  <c r="D70" i="5" l="1"/>
  <c r="D71" i="5" s="1"/>
  <c r="K16" i="7"/>
  <c r="W15" i="7"/>
  <c r="D75" i="5" l="1"/>
  <c r="D81" i="5" s="1"/>
  <c r="D74" i="5"/>
  <c r="D80" i="5" s="1"/>
  <c r="D72" i="5"/>
  <c r="K17" i="7"/>
  <c r="W16" i="7"/>
  <c r="D77" i="5" l="1"/>
  <c r="D78" i="5"/>
  <c r="D42" i="5"/>
  <c r="D43" i="5" s="1"/>
  <c r="K18" i="7"/>
  <c r="W17" i="7"/>
  <c r="D35" i="5"/>
  <c r="D47" i="5" l="1"/>
  <c r="D49" i="5" s="1"/>
  <c r="D46" i="5"/>
  <c r="D48" i="5" s="1"/>
  <c r="K19" i="7"/>
  <c r="W18" i="7"/>
  <c r="K20" i="7" l="1"/>
  <c r="W19" i="7"/>
  <c r="K21" i="7" l="1"/>
  <c r="W20" i="7"/>
  <c r="K22" i="7" l="1"/>
  <c r="W21" i="7"/>
  <c r="K23" i="7" l="1"/>
  <c r="W22" i="7"/>
  <c r="K24" i="7" l="1"/>
  <c r="W23" i="7"/>
  <c r="K25" i="7" l="1"/>
  <c r="W24" i="7"/>
  <c r="K26" i="7" l="1"/>
  <c r="W26" i="7" s="1"/>
  <c r="W25" i="7"/>
  <c r="K27" i="7" l="1"/>
  <c r="W27" i="7" s="1"/>
  <c r="K28" i="7" l="1"/>
  <c r="W28" i="7" s="1"/>
  <c r="K29" i="7" l="1"/>
  <c r="W29" i="7" s="1"/>
  <c r="K30" i="7" l="1"/>
  <c r="K31" i="7" l="1"/>
  <c r="W30" i="7"/>
  <c r="K32" i="7" l="1"/>
  <c r="W31" i="7"/>
  <c r="K33" i="7" l="1"/>
  <c r="W32" i="7"/>
  <c r="K34" i="7" l="1"/>
  <c r="W33" i="7"/>
  <c r="K35" i="7" l="1"/>
  <c r="W34" i="7"/>
  <c r="K36" i="7" l="1"/>
  <c r="W35" i="7"/>
  <c r="K37" i="7" l="1"/>
  <c r="W36" i="7"/>
  <c r="K38" i="7" l="1"/>
  <c r="W37" i="7"/>
  <c r="K39" i="7" l="1"/>
  <c r="W38" i="7"/>
  <c r="K40" i="7" l="1"/>
  <c r="W39" i="7"/>
  <c r="K41" i="7" l="1"/>
  <c r="W40" i="7"/>
  <c r="K42" i="7" l="1"/>
  <c r="W41" i="7"/>
  <c r="K43" i="7" l="1"/>
  <c r="W42" i="7"/>
  <c r="K44" i="7" l="1"/>
  <c r="W43" i="7"/>
  <c r="K45" i="7" l="1"/>
  <c r="W44" i="7"/>
  <c r="K46" i="7" l="1"/>
  <c r="W45" i="7"/>
  <c r="K47" i="7" l="1"/>
  <c r="W46" i="7"/>
  <c r="K48" i="7" l="1"/>
  <c r="W47" i="7"/>
  <c r="K49" i="7" l="1"/>
  <c r="W48" i="7"/>
  <c r="K50" i="7" l="1"/>
  <c r="W49" i="7"/>
  <c r="K51" i="7" l="1"/>
  <c r="W50" i="7"/>
  <c r="K52" i="7" l="1"/>
  <c r="W51" i="7"/>
  <c r="K53" i="7" l="1"/>
  <c r="W52" i="7"/>
  <c r="K54" i="7" l="1"/>
  <c r="W53" i="7"/>
  <c r="K55" i="7" l="1"/>
  <c r="W54" i="7"/>
  <c r="K56" i="7" l="1"/>
  <c r="W55" i="7"/>
  <c r="K57" i="7" l="1"/>
  <c r="W56" i="7"/>
  <c r="K58" i="7" l="1"/>
  <c r="W57" i="7"/>
  <c r="K59" i="7" l="1"/>
  <c r="W58" i="7"/>
  <c r="K60" i="7" l="1"/>
  <c r="W59" i="7"/>
  <c r="K61" i="7" l="1"/>
  <c r="W60" i="7"/>
  <c r="K62" i="7" l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K108" i="7" s="1"/>
  <c r="K109" i="7" s="1"/>
  <c r="K110" i="7" s="1"/>
  <c r="K111" i="7" s="1"/>
  <c r="K112" i="7" s="1"/>
  <c r="K113" i="7" s="1"/>
  <c r="K114" i="7" s="1"/>
  <c r="K115" i="7" s="1"/>
  <c r="K116" i="7" s="1"/>
  <c r="K117" i="7" s="1"/>
  <c r="W61" i="7"/>
  <c r="AG26" i="7"/>
  <c r="AE24" i="7" s="1"/>
  <c r="AE43" i="7" l="1"/>
  <c r="AC43" i="7"/>
  <c r="AC24" i="7"/>
</calcChain>
</file>

<file path=xl/sharedStrings.xml><?xml version="1.0" encoding="utf-8"?>
<sst xmlns="http://schemas.openxmlformats.org/spreadsheetml/2006/main" count="358" uniqueCount="156">
  <si>
    <t>R</t>
  </si>
  <si>
    <t>T</t>
  </si>
  <si>
    <t>Z</t>
  </si>
  <si>
    <t>#1</t>
  </si>
  <si>
    <t>P1</t>
  </si>
  <si>
    <t>RR</t>
  </si>
  <si>
    <t>N</t>
  </si>
  <si>
    <t>The data can be arranged as follows:</t>
  </si>
  <si>
    <t>Total</t>
  </si>
  <si>
    <t>Exposed Group (1)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</si>
  <si>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</si>
  <si>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-x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</si>
  <si>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</si>
  <si>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Non-exposed Group (2)</t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</si>
  <si>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</si>
  <si>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-x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</si>
  <si>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</si>
  <si>
    <t>1. Compute the confidence interval for Ln(RR) using the equation above.</t>
  </si>
  <si>
    <t>2. Compute the confidence interval for RR by finding the antilog of the result in step 1, i.e., exp(Lower Limit), exp (Upper Limit).</t>
  </si>
  <si>
    <t>http://sphweb.bumc.bu.edu/otlt/MPH-Modules/BS/BS704_Confidence_Intervals/BS704_Confidence_Intervals8.html</t>
  </si>
  <si>
    <t>LN(RR) +/-  Z*Sqrt[(1-P1)/(P1*N1) + (1-P2)/(P2*N2)]</t>
  </si>
  <si>
    <t>Died</t>
  </si>
  <si>
    <t>Alive</t>
  </si>
  <si>
    <t>Exercised</t>
  </si>
  <si>
    <t>No Exercise</t>
  </si>
  <si>
    <t>P2</t>
  </si>
  <si>
    <t>LN(RR)</t>
  </si>
  <si>
    <t xml:space="preserve">Since UL &lt; 1, RR is statistically significant </t>
  </si>
  <si>
    <t xml:space="preserve">The relative risk is a ratio and does not follow a normal distribution, regardless of the sample sizes in the comparison groups. </t>
  </si>
  <si>
    <t xml:space="preserve">However, the natural log (Ln) of the sample RR, is approximately normally distributed and is used to produce the confidence interval for the relative risk. </t>
  </si>
  <si>
    <t xml:space="preserve">Therefore, computing the confidence interval for a risk ratio is a two step procedure. </t>
  </si>
  <si>
    <t>With</t>
  </si>
  <si>
    <t>Without</t>
  </si>
  <si>
    <t>p1</t>
  </si>
  <si>
    <t>N \ P1</t>
  </si>
  <si>
    <t>#2</t>
  </si>
  <si>
    <t>Sum</t>
  </si>
  <si>
    <t>Sqrt()</t>
  </si>
  <si>
    <t>Z*Sqrt()</t>
  </si>
  <si>
    <t>RRss</t>
  </si>
  <si>
    <t>http://www.hutchon.net/confidrr.htm</t>
  </si>
  <si>
    <t>Model 0</t>
  </si>
  <si>
    <t>Row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</si>
  <si>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</si>
  <si>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</si>
  <si>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</si>
  <si>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</si>
  <si>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</si>
  <si>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</si>
  <si>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</si>
  <si>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</si>
  <si>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</si>
  <si>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</si>
  <si>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Ratio of Model 0 to Model 4</t>
  </si>
  <si>
    <t>RR-Estimated</t>
  </si>
  <si>
    <t>RR-Exact: Iteration 1</t>
  </si>
  <si>
    <t>RR-Exact: Iteration 2</t>
  </si>
  <si>
    <t>RR-Exact: Iteration 3</t>
  </si>
  <si>
    <t>RR-Exact: Iteration 4</t>
  </si>
  <si>
    <t>N*P1</t>
  </si>
  <si>
    <t>RR-Exact: Iteration 5</t>
  </si>
  <si>
    <t>RR-Exact: Iteration 6</t>
  </si>
  <si>
    <t>RR-Exact: Iteration 7</t>
  </si>
  <si>
    <t>RR-Exact: Iteration 8</t>
  </si>
  <si>
    <t>RR-Exact: Iteration 9</t>
  </si>
  <si>
    <t>RR = P2 / P1</t>
  </si>
  <si>
    <t>Step 1: Enter the smaller of the two proportions.</t>
  </si>
  <si>
    <t>Step 2: Enter the sample size in exposure group (assumes Control Group is same size).</t>
  </si>
  <si>
    <t>Max RRss</t>
  </si>
  <si>
    <t>Maximum Ratio</t>
  </si>
  <si>
    <t>Model 0: Est</t>
  </si>
  <si>
    <t xml:space="preserve"> Z</t>
  </si>
  <si>
    <t>Confidence Level</t>
  </si>
  <si>
    <t>RR = P2/P1 &gt; 1</t>
  </si>
  <si>
    <t>N1=N2=N</t>
  </si>
  <si>
    <t>#3</t>
  </si>
  <si>
    <t>#4</t>
  </si>
  <si>
    <t>#1: RRss First Iteration Exact</t>
  </si>
  <si>
    <t>#2: RRss Second Iteration Exact</t>
  </si>
  <si>
    <t>#3: RRss Third Iteration Exact</t>
  </si>
  <si>
    <t>#4: RRss Fourth Iteration Exact</t>
  </si>
  <si>
    <t>#5: RRss Fifth Iteration Exact</t>
  </si>
  <si>
    <t>Smallest Relative Risk that is Statistically Significant given P1 and N1</t>
  </si>
  <si>
    <t>M</t>
  </si>
  <si>
    <t>O</t>
  </si>
  <si>
    <t>P</t>
  </si>
  <si>
    <t>Q</t>
  </si>
  <si>
    <t>S</t>
  </si>
  <si>
    <t>U</t>
  </si>
  <si>
    <t>V</t>
  </si>
  <si>
    <t>Max Min RRss</t>
  </si>
  <si>
    <t>Smallest RR that is statistically significant as function of N1*P1</t>
  </si>
  <si>
    <t>N1*P1</t>
  </si>
  <si>
    <t>Max Difference</t>
  </si>
  <si>
    <t>Min Diff</t>
  </si>
  <si>
    <t>Error: Model #2 vs. Iteration #5 Exact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</si>
  <si>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</si>
  <si>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</si>
  <si>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</si>
  <si>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</si>
  <si>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</si>
  <si>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</si>
  <si>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</si>
  <si>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</si>
  <si>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</si>
  <si>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K</t>
  </si>
  <si>
    <t>Error: Model #3 vs. Iteration #5 Exact</t>
  </si>
  <si>
    <t>Schield (2014)</t>
  </si>
  <si>
    <t>UL Ln(RR)</t>
  </si>
  <si>
    <t>LL Ln(RR)</t>
  </si>
  <si>
    <t>LL RR</t>
  </si>
  <si>
    <t>UL RR</t>
  </si>
  <si>
    <t>Calculate the minimum Relative Risk that is statistically significant</t>
  </si>
  <si>
    <t xml:space="preserve">First, a confidence interval is generated for Ln(RR), </t>
  </si>
  <si>
    <t xml:space="preserve"> to give the upper and lower limits of the confidence interval for the RR.</t>
  </si>
  <si>
    <t xml:space="preserve">and then the antilog of the upper and lower limits of the confidence interval for Ln(RR) are computed </t>
  </si>
  <si>
    <t>(1-p2)/(p2*N2)</t>
  </si>
  <si>
    <t>(1-p1)/(p1*N1)</t>
  </si>
  <si>
    <r>
      <t>for RR = p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/p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</si>
  <si>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Confidence Interval</t>
  </si>
  <si>
    <t>Exp(Z*Sq)</t>
  </si>
  <si>
    <t>Exposure</t>
  </si>
  <si>
    <t>Control Group</t>
  </si>
  <si>
    <t>Exp(UL Ln(RR))</t>
  </si>
  <si>
    <t>Exp(LL Ln(RR))</t>
  </si>
  <si>
    <t>LN(RR)+ME=UL(LN(RR))</t>
  </si>
  <si>
    <t>UL(RR) = EXP[LN(RR)+ME]</t>
  </si>
  <si>
    <t>IF UL(RR) = 1, EXP[LN(RR)+ME] = 1</t>
  </si>
  <si>
    <t>YES</t>
  </si>
  <si>
    <t>Hutchon OK</t>
  </si>
  <si>
    <t>Z exact</t>
  </si>
  <si>
    <t>RR exact</t>
  </si>
  <si>
    <t>RR aprox</t>
  </si>
  <si>
    <t>Z approx</t>
  </si>
  <si>
    <t>Boston Univ.</t>
  </si>
  <si>
    <t>NO!!!</t>
  </si>
  <si>
    <t>Watch out!</t>
  </si>
  <si>
    <t>Schield where RR is supposedly the smallest RR that is statistically significant</t>
  </si>
  <si>
    <t>If this is too small, this method may not work.</t>
  </si>
  <si>
    <t>Schield, Milo (2014).  Calculating the Relative Risk Cutoff for Statistical Significance</t>
  </si>
  <si>
    <t>Schield, Milo (2014).  Relative Risk Cutoffs for Statistical Significance.</t>
  </si>
  <si>
    <t>www.StatLit.org/pdf/2014-Schield-RR-Statistical-Significance.pdf</t>
  </si>
  <si>
    <t>This calculation assumes that P2 &gt; P1 so that RR &gt; 1.  It assumes N1 = N2.</t>
  </si>
  <si>
    <t xml:space="preserve">This iterative process approaches the exact solution.  Each iteration adds another digit. </t>
  </si>
  <si>
    <t>www.StatLit.org/xls/2014-Schield-RR-Stat-Sig-Calculator.xlsx</t>
  </si>
  <si>
    <t>V0b</t>
  </si>
  <si>
    <t>This minimum RR ocurs where the lower-edge of 95% RR confidence interval equals one.</t>
  </si>
  <si>
    <t>Maximum RRss for any combination of P1 and N as a function of P1*N</t>
  </si>
  <si>
    <t>Z (for a two-tailed test)</t>
  </si>
  <si>
    <t>Model #1: 1 + Z*SQRT(K/(P1*N1))</t>
  </si>
  <si>
    <t>Error: Model #1 vs. Iteration #5 Exact</t>
  </si>
  <si>
    <t>Model #2: 1 + Z*K/(P1*N1)</t>
  </si>
  <si>
    <t>Model #3: Z*Exp(K*(1-P1)/(P1*N))</t>
  </si>
  <si>
    <t>n*P1</t>
  </si>
  <si>
    <t>RR1</t>
  </si>
  <si>
    <t>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</si>
</sst>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00"/>
    <numFmt numFmtId="167" formatCode="0.00_);\(0.00\)"/>
    <numFmt numFmtId="168" formatCode="#,##0.000000000"/>
    <numFmt numFmtId="169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/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/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2" fontId="0" fillId="0" borderId="0" xfId="0" applyNumberFormat="1" applyAlignment="1"/>
    <xf numFmtId="0" fontId="0" fillId="0" borderId="0" xfId="0" applyFill="1" applyBorder="1" applyAlignment="1"/>
    <xf numFmtId="165" fontId="0" fillId="0" borderId="0" xfId="0" applyNumberFormat="1" applyAlignment="1"/>
    <xf numFmtId="166" fontId="0" fillId="0" borderId="0" xfId="0" applyNumberFormat="1" applyAlignment="1"/>
    <xf numFmtId="164" fontId="0" fillId="0" borderId="0" xfId="0" applyNumberFormat="1" applyAlignment="1"/>
    <xf numFmtId="3" fontId="0" fillId="0" borderId="0" xfId="0" applyNumberFormat="1" applyAlignment="1">
      <alignment horizontal="center"/>
    </xf>
    <xf numFmtId="0" fontId="4" fillId="0" borderId="0" xfId="0" applyFont="1" applyAlignment="1"/>
    <xf numFmtId="0" fontId="0" fillId="0" borderId="4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1" applyAlignment="1"/>
    <xf numFmtId="167" fontId="0" fillId="0" borderId="0" xfId="0" applyNumberFormat="1" applyAlignment="1"/>
    <xf numFmtId="0" fontId="0" fillId="0" borderId="0" xfId="0" applyAlignment="1">
      <alignment horizontal="lef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8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quotePrefix="1" applyAlignment="1">
      <alignment horizontal="right"/>
    </xf>
    <xf numFmtId="4" fontId="0" fillId="0" borderId="0" xfId="0" applyNumberFormat="1" applyBorder="1" applyAlignment="1">
      <alignment horizontal="center"/>
    </xf>
    <xf numFmtId="9" fontId="0" fillId="0" borderId="15" xfId="0" applyNumberFormat="1" applyBorder="1" applyAlignment="1"/>
    <xf numFmtId="2" fontId="0" fillId="0" borderId="0" xfId="0" applyNumberFormat="1" applyBorder="1" applyAlignment="1">
      <alignment horizontal="center"/>
    </xf>
    <xf numFmtId="0" fontId="9" fillId="0" borderId="0" xfId="0" applyFont="1" applyAlignment="1"/>
    <xf numFmtId="2" fontId="0" fillId="0" borderId="0" xfId="0" quotePrefix="1" applyNumberFormat="1" applyAlignment="1">
      <alignment horizontal="center"/>
    </xf>
    <xf numFmtId="3" fontId="0" fillId="0" borderId="0" xfId="0" applyNumberFormat="1" applyAlignment="1"/>
    <xf numFmtId="2" fontId="0" fillId="0" borderId="0" xfId="0" applyNumberFormat="1" applyAlignment="1">
      <alignment horizontal="left"/>
    </xf>
    <xf numFmtId="4" fontId="0" fillId="0" borderId="6" xfId="0" quotePrefix="1" applyNumberFormat="1" applyBorder="1" applyAlignment="1">
      <alignment horizontal="center"/>
    </xf>
    <xf numFmtId="4" fontId="0" fillId="0" borderId="0" xfId="0" quotePrefix="1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6" fillId="0" borderId="0" xfId="1"/>
    <xf numFmtId="0" fontId="0" fillId="0" borderId="19" xfId="0" applyBorder="1" applyAlignment="1"/>
    <xf numFmtId="0" fontId="0" fillId="2" borderId="17" xfId="0" applyFill="1" applyBorder="1" applyAlignment="1"/>
    <xf numFmtId="169" fontId="0" fillId="0" borderId="0" xfId="0" applyNumberFormat="1"/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2" fontId="1" fillId="3" borderId="0" xfId="0" quotePrefix="1" applyNumberFormat="1" applyFont="1" applyFill="1" applyAlignment="1">
      <alignment horizontal="center"/>
    </xf>
    <xf numFmtId="0" fontId="0" fillId="0" borderId="0" xfId="0" quotePrefix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6" fontId="10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Minimum</a:t>
            </a:r>
            <a:r>
              <a:rPr lang="en-US" b="1" baseline="0">
                <a:solidFill>
                  <a:schemeClr val="tx1"/>
                </a:solidFill>
              </a:rPr>
              <a:t> Statistically-Significant Relative Risk:</a:t>
            </a:r>
            <a:br>
              <a:rPr lang="en-US" b="1" baseline="0">
                <a:solidFill>
                  <a:schemeClr val="tx1"/>
                </a:solidFill>
              </a:rPr>
            </a:br>
            <a:r>
              <a:rPr lang="en-US" b="1" baseline="0">
                <a:solidFill>
                  <a:schemeClr val="tx1"/>
                </a:solidFill>
              </a:rPr>
              <a:t>Model vs. Actual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'RR-Model'!$AP$42</c:f>
              <c:strCache>
                <c:ptCount val="1"/>
                <c:pt idx="0">
                  <c:v>RR1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'RR-Model'!$AO$43:$AO$119</c:f>
              <c:numCache>
                <c:formatCode>0.00000</c:formatCode>
                <c:ptCount val="77"/>
                <c:pt idx="0" formatCode="0.00">
                  <c:v>5</c:v>
                </c:pt>
                <c:pt idx="1">
                  <c:v>5</c:v>
                </c:pt>
                <c:pt idx="2" formatCode="0.00">
                  <c:v>5.12</c:v>
                </c:pt>
                <c:pt idx="3" formatCode="0.00">
                  <c:v>6.25</c:v>
                </c:pt>
                <c:pt idx="4" formatCode="0.00">
                  <c:v>6.4</c:v>
                </c:pt>
                <c:pt idx="5" formatCode="0.00">
                  <c:v>6.48</c:v>
                </c:pt>
                <c:pt idx="6" formatCode="0.00">
                  <c:v>7.2</c:v>
                </c:pt>
                <c:pt idx="7" formatCode="0.00">
                  <c:v>7.2</c:v>
                </c:pt>
                <c:pt idx="8" formatCode="0.00">
                  <c:v>8</c:v>
                </c:pt>
                <c:pt idx="9" formatCode="0.00">
                  <c:v>8</c:v>
                </c:pt>
                <c:pt idx="10" formatCode="0.00">
                  <c:v>8</c:v>
                </c:pt>
                <c:pt idx="11" formatCode="0.00">
                  <c:v>9</c:v>
                </c:pt>
                <c:pt idx="12" formatCode="0.00">
                  <c:v>9.8000000000000007</c:v>
                </c:pt>
                <c:pt idx="13" formatCode="0.00">
                  <c:v>9.8000000000000007</c:v>
                </c:pt>
                <c:pt idx="14" formatCode="General">
                  <c:v>10</c:v>
                </c:pt>
                <c:pt idx="15" formatCode="General">
                  <c:v>10</c:v>
                </c:pt>
                <c:pt idx="16" formatCode="General">
                  <c:v>12.5</c:v>
                </c:pt>
                <c:pt idx="17" formatCode="General">
                  <c:v>12.5</c:v>
                </c:pt>
                <c:pt idx="18" formatCode="General">
                  <c:v>12.8</c:v>
                </c:pt>
                <c:pt idx="19" formatCode="General">
                  <c:v>12.8</c:v>
                </c:pt>
                <c:pt idx="20" formatCode="General">
                  <c:v>14.4</c:v>
                </c:pt>
                <c:pt idx="21" formatCode="General">
                  <c:v>16</c:v>
                </c:pt>
                <c:pt idx="22" formatCode="General">
                  <c:v>16.2</c:v>
                </c:pt>
                <c:pt idx="23" formatCode="General">
                  <c:v>18</c:v>
                </c:pt>
                <c:pt idx="24" formatCode="General">
                  <c:v>18</c:v>
                </c:pt>
                <c:pt idx="25" formatCode="General">
                  <c:v>19.600000000000001</c:v>
                </c:pt>
                <c:pt idx="26" formatCode="General">
                  <c:v>20</c:v>
                </c:pt>
                <c:pt idx="27" formatCode="General">
                  <c:v>20</c:v>
                </c:pt>
                <c:pt idx="28" formatCode="General">
                  <c:v>20</c:v>
                </c:pt>
                <c:pt idx="29" formatCode="General">
                  <c:v>24.5</c:v>
                </c:pt>
                <c:pt idx="30" formatCode="General">
                  <c:v>25</c:v>
                </c:pt>
                <c:pt idx="31" formatCode="General">
                  <c:v>25.6</c:v>
                </c:pt>
                <c:pt idx="32" formatCode="General">
                  <c:v>28.8</c:v>
                </c:pt>
                <c:pt idx="33" formatCode="General">
                  <c:v>31.25</c:v>
                </c:pt>
                <c:pt idx="34" formatCode="General">
                  <c:v>32</c:v>
                </c:pt>
                <c:pt idx="35" formatCode="General">
                  <c:v>32</c:v>
                </c:pt>
                <c:pt idx="36" formatCode="General">
                  <c:v>32.4</c:v>
                </c:pt>
                <c:pt idx="37" formatCode="General">
                  <c:v>39.200000000000003</c:v>
                </c:pt>
                <c:pt idx="38" formatCode="General">
                  <c:v>40</c:v>
                </c:pt>
                <c:pt idx="39" formatCode="General">
                  <c:v>45</c:v>
                </c:pt>
                <c:pt idx="40" formatCode="General">
                  <c:v>49</c:v>
                </c:pt>
                <c:pt idx="41" formatCode="General">
                  <c:v>50</c:v>
                </c:pt>
                <c:pt idx="42" formatCode="General">
                  <c:v>50</c:v>
                </c:pt>
                <c:pt idx="43" formatCode="General">
                  <c:v>50</c:v>
                </c:pt>
                <c:pt idx="44" formatCode="General">
                  <c:v>51.2</c:v>
                </c:pt>
                <c:pt idx="45" formatCode="General">
                  <c:v>62.5</c:v>
                </c:pt>
                <c:pt idx="46" formatCode="General">
                  <c:v>64.8</c:v>
                </c:pt>
                <c:pt idx="47" formatCode="General">
                  <c:v>72</c:v>
                </c:pt>
                <c:pt idx="48" formatCode="General">
                  <c:v>80</c:v>
                </c:pt>
                <c:pt idx="49" formatCode="General">
                  <c:v>80</c:v>
                </c:pt>
                <c:pt idx="50" formatCode="General">
                  <c:v>90</c:v>
                </c:pt>
                <c:pt idx="51" formatCode="General">
                  <c:v>98</c:v>
                </c:pt>
                <c:pt idx="52" formatCode="General">
                  <c:v>98</c:v>
                </c:pt>
                <c:pt idx="53" formatCode="General">
                  <c:v>100</c:v>
                </c:pt>
                <c:pt idx="54" formatCode="General">
                  <c:v>125</c:v>
                </c:pt>
                <c:pt idx="55" formatCode="General">
                  <c:v>125</c:v>
                </c:pt>
                <c:pt idx="56" formatCode="General">
                  <c:v>128</c:v>
                </c:pt>
                <c:pt idx="57" formatCode="General">
                  <c:v>160</c:v>
                </c:pt>
                <c:pt idx="58" formatCode="General">
                  <c:v>162</c:v>
                </c:pt>
                <c:pt idx="59" formatCode="General">
                  <c:v>180</c:v>
                </c:pt>
                <c:pt idx="60" formatCode="General">
                  <c:v>200</c:v>
                </c:pt>
                <c:pt idx="61" formatCode="General">
                  <c:v>200</c:v>
                </c:pt>
                <c:pt idx="62" formatCode="General">
                  <c:v>245</c:v>
                </c:pt>
                <c:pt idx="63" formatCode="General">
                  <c:v>250</c:v>
                </c:pt>
                <c:pt idx="64" formatCode="General">
                  <c:v>312.5</c:v>
                </c:pt>
                <c:pt idx="65" formatCode="General">
                  <c:v>320</c:v>
                </c:pt>
                <c:pt idx="66" formatCode="General">
                  <c:v>450</c:v>
                </c:pt>
                <c:pt idx="67" formatCode="General">
                  <c:v>490</c:v>
                </c:pt>
                <c:pt idx="68" formatCode="General">
                  <c:v>500</c:v>
                </c:pt>
                <c:pt idx="69" formatCode="General">
                  <c:v>500</c:v>
                </c:pt>
                <c:pt idx="70" formatCode="General">
                  <c:v>800</c:v>
                </c:pt>
                <c:pt idx="71" formatCode="General">
                  <c:v>980</c:v>
                </c:pt>
                <c:pt idx="72" formatCode="General">
                  <c:v>1000</c:v>
                </c:pt>
                <c:pt idx="73" formatCode="General">
                  <c:v>1250</c:v>
                </c:pt>
                <c:pt idx="74" formatCode="General">
                  <c:v>2000</c:v>
                </c:pt>
                <c:pt idx="75" formatCode="General">
                  <c:v>2450</c:v>
                </c:pt>
                <c:pt idx="76" formatCode="General">
                  <c:v>5000</c:v>
                </c:pt>
              </c:numCache>
            </c:numRef>
          </c:xVal>
          <c:yVal>
            <c:numRef>
              <c:f>'RR-Model'!$AP$43:$AP$119</c:f>
              <c:numCache>
                <c:formatCode>0.00</c:formatCode>
                <c:ptCount val="77"/>
                <c:pt idx="0">
                  <c:v>2.7530450811531626</c:v>
                </c:pt>
                <c:pt idx="1">
                  <c:v>2.7530450811531626</c:v>
                </c:pt>
                <c:pt idx="2">
                  <c:v>2.7323797804370971</c:v>
                </c:pt>
                <c:pt idx="3">
                  <c:v>2.5679711876320432</c:v>
                </c:pt>
                <c:pt idx="4">
                  <c:v>2.5494875807614035</c:v>
                </c:pt>
                <c:pt idx="5">
                  <c:v>2.5398931381663084</c:v>
                </c:pt>
                <c:pt idx="6">
                  <c:v>2.4608709009609688</c:v>
                </c:pt>
                <c:pt idx="7">
                  <c:v>2.4608709009609688</c:v>
                </c:pt>
                <c:pt idx="8">
                  <c:v>2.3859038243496773</c:v>
                </c:pt>
                <c:pt idx="9">
                  <c:v>2.3859038243496773</c:v>
                </c:pt>
                <c:pt idx="10">
                  <c:v>2.3859038243496773</c:v>
                </c:pt>
                <c:pt idx="11">
                  <c:v>2.3066426563600357</c:v>
                </c:pt>
                <c:pt idx="12">
                  <c:v>2.2521750579665447</c:v>
                </c:pt>
                <c:pt idx="13">
                  <c:v>2.2521750579665447</c:v>
                </c:pt>
                <c:pt idx="14">
                  <c:v>2.2395900646091231</c:v>
                </c:pt>
                <c:pt idx="15">
                  <c:v>2.2395900646091231</c:v>
                </c:pt>
                <c:pt idx="16">
                  <c:v>2.1087230594797419</c:v>
                </c:pt>
                <c:pt idx="17">
                  <c:v>2.1087230594797419</c:v>
                </c:pt>
                <c:pt idx="18">
                  <c:v>2.0956531757207268</c:v>
                </c:pt>
                <c:pt idx="19">
                  <c:v>2.0956531757207268</c:v>
                </c:pt>
                <c:pt idx="20">
                  <c:v>2.0329917205076025</c:v>
                </c:pt>
                <c:pt idx="21">
                  <c:v>1.9799819922700268</c:v>
                </c:pt>
                <c:pt idx="22">
                  <c:v>1.9739139339739793</c:v>
                </c:pt>
                <c:pt idx="23">
                  <c:v>1.923935882899785</c:v>
                </c:pt>
                <c:pt idx="24">
                  <c:v>1.923935882899785</c:v>
                </c:pt>
                <c:pt idx="25">
                  <c:v>1.885421474720802</c:v>
                </c:pt>
                <c:pt idx="26">
                  <c:v>1.8765225405765813</c:v>
                </c:pt>
                <c:pt idx="27">
                  <c:v>1.8765225405765813</c:v>
                </c:pt>
                <c:pt idx="28">
                  <c:v>1.8765225405765813</c:v>
                </c:pt>
                <c:pt idx="29">
                  <c:v>1.7919450424855299</c:v>
                </c:pt>
                <c:pt idx="30">
                  <c:v>1.7839855938160216</c:v>
                </c:pt>
                <c:pt idx="31">
                  <c:v>1.7747437903807017</c:v>
                </c:pt>
                <c:pt idx="32">
                  <c:v>1.7304354504804844</c:v>
                </c:pt>
                <c:pt idx="33">
                  <c:v>1.7012180324612651</c:v>
                </c:pt>
                <c:pt idx="34">
                  <c:v>1.6929519121748386</c:v>
                </c:pt>
                <c:pt idx="35">
                  <c:v>1.6929519121748386</c:v>
                </c:pt>
                <c:pt idx="36">
                  <c:v>1.6886611470050683</c:v>
                </c:pt>
                <c:pt idx="37">
                  <c:v>1.6260875289832724</c:v>
                </c:pt>
                <c:pt idx="38">
                  <c:v>1.6197950323045616</c:v>
                </c:pt>
                <c:pt idx="39">
                  <c:v>1.5843483603843875</c:v>
                </c:pt>
                <c:pt idx="40">
                  <c:v>1.5599897098685869</c:v>
                </c:pt>
                <c:pt idx="41">
                  <c:v>1.554361529739871</c:v>
                </c:pt>
                <c:pt idx="42">
                  <c:v>1.554361529739871</c:v>
                </c:pt>
                <c:pt idx="43">
                  <c:v>1.554361529739871</c:v>
                </c:pt>
                <c:pt idx="44">
                  <c:v>1.5478265878603634</c:v>
                </c:pt>
                <c:pt idx="45">
                  <c:v>1.4958360258436492</c:v>
                </c:pt>
                <c:pt idx="46">
                  <c:v>1.4869569669869898</c:v>
                </c:pt>
                <c:pt idx="47">
                  <c:v>1.4619679414498925</c:v>
                </c:pt>
                <c:pt idx="48">
                  <c:v>1.4382612702882906</c:v>
                </c:pt>
                <c:pt idx="49">
                  <c:v>1.4382612702882906</c:v>
                </c:pt>
                <c:pt idx="50">
                  <c:v>1.4131966882030409</c:v>
                </c:pt>
                <c:pt idx="51">
                  <c:v>1.3959725212427649</c:v>
                </c:pt>
                <c:pt idx="52">
                  <c:v>1.3959725212427649</c:v>
                </c:pt>
                <c:pt idx="53">
                  <c:v>1.3919927969080108</c:v>
                </c:pt>
                <c:pt idx="54">
                  <c:v>1.3506090162306326</c:v>
                </c:pt>
                <c:pt idx="55">
                  <c:v>1.3506090162306326</c:v>
                </c:pt>
                <c:pt idx="56">
                  <c:v>1.3464759560874193</c:v>
                </c:pt>
                <c:pt idx="57">
                  <c:v>1.3098975161522808</c:v>
                </c:pt>
                <c:pt idx="58">
                  <c:v>1.3079786276332617</c:v>
                </c:pt>
                <c:pt idx="59">
                  <c:v>1.2921741801921938</c:v>
                </c:pt>
                <c:pt idx="60">
                  <c:v>1.2771807648699354</c:v>
                </c:pt>
                <c:pt idx="61">
                  <c:v>1.2771807648699354</c:v>
                </c:pt>
                <c:pt idx="62">
                  <c:v>1.2504350115933089</c:v>
                </c:pt>
                <c:pt idx="63">
                  <c:v>1.2479180129218246</c:v>
                </c:pt>
                <c:pt idx="64">
                  <c:v>1.2217446118959483</c:v>
                </c:pt>
                <c:pt idx="65">
                  <c:v>1.2191306351441453</c:v>
                </c:pt>
                <c:pt idx="66">
                  <c:v>1.1847871765799569</c:v>
                </c:pt>
                <c:pt idx="67">
                  <c:v>1.1770842949441604</c:v>
                </c:pt>
                <c:pt idx="68">
                  <c:v>1.1753045081153162</c:v>
                </c:pt>
                <c:pt idx="69">
                  <c:v>1.1753045081153162</c:v>
                </c:pt>
                <c:pt idx="70">
                  <c:v>1.1385903824349677</c:v>
                </c:pt>
                <c:pt idx="71">
                  <c:v>1.1252175057966545</c:v>
                </c:pt>
                <c:pt idx="72">
                  <c:v>1.1239590064609122</c:v>
                </c:pt>
                <c:pt idx="73">
                  <c:v>1.1108723059479741</c:v>
                </c:pt>
                <c:pt idx="74">
                  <c:v>1.0876522540576581</c:v>
                </c:pt>
                <c:pt idx="75">
                  <c:v>1.0791945042485529</c:v>
                </c:pt>
                <c:pt idx="76">
                  <c:v>1.0554361529739871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'RR-Model'!$AQ$42</c:f>
              <c:strCache>
                <c:ptCount val="1"/>
                <c:pt idx="0">
                  <c:v>RRo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'RR-Model'!$AO$43:$AO$119</c:f>
              <c:numCache>
                <c:formatCode>0.00000</c:formatCode>
                <c:ptCount val="77"/>
                <c:pt idx="0" formatCode="0.00">
                  <c:v>5</c:v>
                </c:pt>
                <c:pt idx="1">
                  <c:v>5</c:v>
                </c:pt>
                <c:pt idx="2" formatCode="0.00">
                  <c:v>5.12</c:v>
                </c:pt>
                <c:pt idx="3" formatCode="0.00">
                  <c:v>6.25</c:v>
                </c:pt>
                <c:pt idx="4" formatCode="0.00">
                  <c:v>6.4</c:v>
                </c:pt>
                <c:pt idx="5" formatCode="0.00">
                  <c:v>6.48</c:v>
                </c:pt>
                <c:pt idx="6" formatCode="0.00">
                  <c:v>7.2</c:v>
                </c:pt>
                <c:pt idx="7" formatCode="0.00">
                  <c:v>7.2</c:v>
                </c:pt>
                <c:pt idx="8" formatCode="0.00">
                  <c:v>8</c:v>
                </c:pt>
                <c:pt idx="9" formatCode="0.00">
                  <c:v>8</c:v>
                </c:pt>
                <c:pt idx="10" formatCode="0.00">
                  <c:v>8</c:v>
                </c:pt>
                <c:pt idx="11" formatCode="0.00">
                  <c:v>9</c:v>
                </c:pt>
                <c:pt idx="12" formatCode="0.00">
                  <c:v>9.8000000000000007</c:v>
                </c:pt>
                <c:pt idx="13" formatCode="0.00">
                  <c:v>9.8000000000000007</c:v>
                </c:pt>
                <c:pt idx="14" formatCode="General">
                  <c:v>10</c:v>
                </c:pt>
                <c:pt idx="15" formatCode="General">
                  <c:v>10</c:v>
                </c:pt>
                <c:pt idx="16" formatCode="General">
                  <c:v>12.5</c:v>
                </c:pt>
                <c:pt idx="17" formatCode="General">
                  <c:v>12.5</c:v>
                </c:pt>
                <c:pt idx="18" formatCode="General">
                  <c:v>12.8</c:v>
                </c:pt>
                <c:pt idx="19" formatCode="General">
                  <c:v>12.8</c:v>
                </c:pt>
                <c:pt idx="20" formatCode="General">
                  <c:v>14.4</c:v>
                </c:pt>
                <c:pt idx="21" formatCode="General">
                  <c:v>16</c:v>
                </c:pt>
                <c:pt idx="22" formatCode="General">
                  <c:v>16.2</c:v>
                </c:pt>
                <c:pt idx="23" formatCode="General">
                  <c:v>18</c:v>
                </c:pt>
                <c:pt idx="24" formatCode="General">
                  <c:v>18</c:v>
                </c:pt>
                <c:pt idx="25" formatCode="General">
                  <c:v>19.600000000000001</c:v>
                </c:pt>
                <c:pt idx="26" formatCode="General">
                  <c:v>20</c:v>
                </c:pt>
                <c:pt idx="27" formatCode="General">
                  <c:v>20</c:v>
                </c:pt>
                <c:pt idx="28" formatCode="General">
                  <c:v>20</c:v>
                </c:pt>
                <c:pt idx="29" formatCode="General">
                  <c:v>24.5</c:v>
                </c:pt>
                <c:pt idx="30" formatCode="General">
                  <c:v>25</c:v>
                </c:pt>
                <c:pt idx="31" formatCode="General">
                  <c:v>25.6</c:v>
                </c:pt>
                <c:pt idx="32" formatCode="General">
                  <c:v>28.8</c:v>
                </c:pt>
                <c:pt idx="33" formatCode="General">
                  <c:v>31.25</c:v>
                </c:pt>
                <c:pt idx="34" formatCode="General">
                  <c:v>32</c:v>
                </c:pt>
                <c:pt idx="35" formatCode="General">
                  <c:v>32</c:v>
                </c:pt>
                <c:pt idx="36" formatCode="General">
                  <c:v>32.4</c:v>
                </c:pt>
                <c:pt idx="37" formatCode="General">
                  <c:v>39.200000000000003</c:v>
                </c:pt>
                <c:pt idx="38" formatCode="General">
                  <c:v>40</c:v>
                </c:pt>
                <c:pt idx="39" formatCode="General">
                  <c:v>45</c:v>
                </c:pt>
                <c:pt idx="40" formatCode="General">
                  <c:v>49</c:v>
                </c:pt>
                <c:pt idx="41" formatCode="General">
                  <c:v>50</c:v>
                </c:pt>
                <c:pt idx="42" formatCode="General">
                  <c:v>50</c:v>
                </c:pt>
                <c:pt idx="43" formatCode="General">
                  <c:v>50</c:v>
                </c:pt>
                <c:pt idx="44" formatCode="General">
                  <c:v>51.2</c:v>
                </c:pt>
                <c:pt idx="45" formatCode="General">
                  <c:v>62.5</c:v>
                </c:pt>
                <c:pt idx="46" formatCode="General">
                  <c:v>64.8</c:v>
                </c:pt>
                <c:pt idx="47" formatCode="General">
                  <c:v>72</c:v>
                </c:pt>
                <c:pt idx="48" formatCode="General">
                  <c:v>80</c:v>
                </c:pt>
                <c:pt idx="49" formatCode="General">
                  <c:v>80</c:v>
                </c:pt>
                <c:pt idx="50" formatCode="General">
                  <c:v>90</c:v>
                </c:pt>
                <c:pt idx="51" formatCode="General">
                  <c:v>98</c:v>
                </c:pt>
                <c:pt idx="52" formatCode="General">
                  <c:v>98</c:v>
                </c:pt>
                <c:pt idx="53" formatCode="General">
                  <c:v>100</c:v>
                </c:pt>
                <c:pt idx="54" formatCode="General">
                  <c:v>125</c:v>
                </c:pt>
                <c:pt idx="55" formatCode="General">
                  <c:v>125</c:v>
                </c:pt>
                <c:pt idx="56" formatCode="General">
                  <c:v>128</c:v>
                </c:pt>
                <c:pt idx="57" formatCode="General">
                  <c:v>160</c:v>
                </c:pt>
                <c:pt idx="58" formatCode="General">
                  <c:v>162</c:v>
                </c:pt>
                <c:pt idx="59" formatCode="General">
                  <c:v>180</c:v>
                </c:pt>
                <c:pt idx="60" formatCode="General">
                  <c:v>200</c:v>
                </c:pt>
                <c:pt idx="61" formatCode="General">
                  <c:v>200</c:v>
                </c:pt>
                <c:pt idx="62" formatCode="General">
                  <c:v>245</c:v>
                </c:pt>
                <c:pt idx="63" formatCode="General">
                  <c:v>250</c:v>
                </c:pt>
                <c:pt idx="64" formatCode="General">
                  <c:v>312.5</c:v>
                </c:pt>
                <c:pt idx="65" formatCode="General">
                  <c:v>320</c:v>
                </c:pt>
                <c:pt idx="66" formatCode="General">
                  <c:v>450</c:v>
                </c:pt>
                <c:pt idx="67" formatCode="General">
                  <c:v>490</c:v>
                </c:pt>
                <c:pt idx="68" formatCode="General">
                  <c:v>500</c:v>
                </c:pt>
                <c:pt idx="69" formatCode="General">
                  <c:v>500</c:v>
                </c:pt>
                <c:pt idx="70" formatCode="General">
                  <c:v>800</c:v>
                </c:pt>
                <c:pt idx="71" formatCode="General">
                  <c:v>980</c:v>
                </c:pt>
                <c:pt idx="72" formatCode="General">
                  <c:v>1000</c:v>
                </c:pt>
                <c:pt idx="73" formatCode="General">
                  <c:v>1250</c:v>
                </c:pt>
                <c:pt idx="74" formatCode="General">
                  <c:v>2000</c:v>
                </c:pt>
                <c:pt idx="75" formatCode="General">
                  <c:v>2450</c:v>
                </c:pt>
                <c:pt idx="76" formatCode="General">
                  <c:v>5000</c:v>
                </c:pt>
              </c:numCache>
            </c:numRef>
          </c:xVal>
          <c:yVal>
            <c:numRef>
              <c:f>'RR-Model'!$AQ$43:$AQ$119</c:f>
              <c:numCache>
                <c:formatCode>0.00</c:formatCode>
                <c:ptCount val="77"/>
                <c:pt idx="0">
                  <c:v>2.6874491540895589</c:v>
                </c:pt>
                <c:pt idx="1">
                  <c:v>2.7753965721908398</c:v>
                </c:pt>
                <c:pt idx="2">
                  <c:v>2.7138220339844525</c:v>
                </c:pt>
                <c:pt idx="3">
                  <c:v>2.5103363611767437</c:v>
                </c:pt>
                <c:pt idx="4">
                  <c:v>2.3566393851600953</c:v>
                </c:pt>
                <c:pt idx="5">
                  <c:v>2.4597382064363642</c:v>
                </c:pt>
                <c:pt idx="6">
                  <c:v>2.1286131394636429</c:v>
                </c:pt>
                <c:pt idx="7">
                  <c:v>2.3223108308773823</c:v>
                </c:pt>
                <c:pt idx="8">
                  <c:v>1.7007784801586265</c:v>
                </c:pt>
                <c:pt idx="9">
                  <c:v>2.2705650780395863</c:v>
                </c:pt>
                <c:pt idx="10">
                  <c:v>2.288234056317008</c:v>
                </c:pt>
                <c:pt idx="11">
                  <c:v>2.1883633646627811</c:v>
                </c:pt>
                <c:pt idx="12">
                  <c:v>2.0861290095186296</c:v>
                </c:pt>
                <c:pt idx="13">
                  <c:v>2.1334185780070913</c:v>
                </c:pt>
                <c:pt idx="14">
                  <c:v>2.0239642543245737</c:v>
                </c:pt>
                <c:pt idx="15">
                  <c:v>2.1199335708609999</c:v>
                </c:pt>
                <c:pt idx="16">
                  <c:v>1.9586443828662883</c:v>
                </c:pt>
                <c:pt idx="17">
                  <c:v>1.9706635905957897</c:v>
                </c:pt>
                <c:pt idx="18">
                  <c:v>1.8017396687166829</c:v>
                </c:pt>
                <c:pt idx="19">
                  <c:v>1.9211567484050913</c:v>
                </c:pt>
                <c:pt idx="20">
                  <c:v>1.821870411154823</c:v>
                </c:pt>
                <c:pt idx="21">
                  <c:v>1.831757920005098</c:v>
                </c:pt>
                <c:pt idx="22">
                  <c:v>1.7995271620687636</c:v>
                </c:pt>
                <c:pt idx="23">
                  <c:v>1.4647482630692086</c:v>
                </c:pt>
                <c:pt idx="24">
                  <c:v>1.769203638820374</c:v>
                </c:pt>
                <c:pt idx="25">
                  <c:v>1.6862632687346135</c:v>
                </c:pt>
                <c:pt idx="26">
                  <c:v>1.6215997232830548</c:v>
                </c:pt>
                <c:pt idx="27">
                  <c:v>1.7061929306793169</c:v>
                </c:pt>
                <c:pt idx="28">
                  <c:v>1.7327093561526266</c:v>
                </c:pt>
                <c:pt idx="29">
                  <c:v>1.6492125108281783</c:v>
                </c:pt>
                <c:pt idx="30">
                  <c:v>1.6393252714526378</c:v>
                </c:pt>
                <c:pt idx="31">
                  <c:v>1.5890213022940203</c:v>
                </c:pt>
                <c:pt idx="32">
                  <c:v>1.5075639899267923</c:v>
                </c:pt>
                <c:pt idx="33">
                  <c:v>1.5465483030476934</c:v>
                </c:pt>
                <c:pt idx="34">
                  <c:v>1.3477585108841024</c:v>
                </c:pt>
                <c:pt idx="35">
                  <c:v>1.5510150311077477</c:v>
                </c:pt>
                <c:pt idx="36">
                  <c:v>1.5159001308156275</c:v>
                </c:pt>
                <c:pt idx="37">
                  <c:v>1.4288966707605186</c:v>
                </c:pt>
                <c:pt idx="38">
                  <c:v>1.4589227041337292</c:v>
                </c:pt>
                <c:pt idx="39">
                  <c:v>1.4457287988851324</c:v>
                </c:pt>
                <c:pt idx="40">
                  <c:v>1.4368842500527901</c:v>
                </c:pt>
                <c:pt idx="41">
                  <c:v>1.277874530527102</c:v>
                </c:pt>
                <c:pt idx="42">
                  <c:v>1.4291659603613951</c:v>
                </c:pt>
                <c:pt idx="43">
                  <c:v>1.4334456301369378</c:v>
                </c:pt>
                <c:pt idx="44">
                  <c:v>1.3713530129339062</c:v>
                </c:pt>
                <c:pt idx="45">
                  <c:v>1.3596237853546149</c:v>
                </c:pt>
                <c:pt idx="46">
                  <c:v>1.3274310654390042</c:v>
                </c:pt>
                <c:pt idx="47">
                  <c:v>1.2314008537983794</c:v>
                </c:pt>
                <c:pt idx="48">
                  <c:v>1.2928050494065708</c:v>
                </c:pt>
                <c:pt idx="49">
                  <c:v>1.3255827416990034</c:v>
                </c:pt>
                <c:pt idx="50">
                  <c:v>1.2956547730138994</c:v>
                </c:pt>
                <c:pt idx="51">
                  <c:v>1.1982561109511343</c:v>
                </c:pt>
                <c:pt idx="52">
                  <c:v>1.2975301334164593</c:v>
                </c:pt>
                <c:pt idx="53">
                  <c:v>1.2961411422022049</c:v>
                </c:pt>
                <c:pt idx="54">
                  <c:v>1.2315912349245657</c:v>
                </c:pt>
                <c:pt idx="55">
                  <c:v>1.256453066976613</c:v>
                </c:pt>
                <c:pt idx="56">
                  <c:v>1.173422599726097</c:v>
                </c:pt>
                <c:pt idx="57">
                  <c:v>1.2180804614107925</c:v>
                </c:pt>
                <c:pt idx="58">
                  <c:v>1.1541211529291009</c:v>
                </c:pt>
                <c:pt idx="59">
                  <c:v>1.191553899516606</c:v>
                </c:pt>
                <c:pt idx="60">
                  <c:v>1.138687797014718</c:v>
                </c:pt>
                <c:pt idx="61">
                  <c:v>1.2037705333947442</c:v>
                </c:pt>
                <c:pt idx="62">
                  <c:v>1.1800140473256204</c:v>
                </c:pt>
                <c:pt idx="63">
                  <c:v>1.1727577395613935</c:v>
                </c:pt>
                <c:pt idx="64">
                  <c:v>1.1109234284844116</c:v>
                </c:pt>
                <c:pt idx="65">
                  <c:v>1.1423462548626231</c:v>
                </c:pt>
                <c:pt idx="66">
                  <c:v>1.092423673632648</c:v>
                </c:pt>
                <c:pt idx="67">
                  <c:v>1.1220381969848168</c:v>
                </c:pt>
                <c:pt idx="68">
                  <c:v>1.1132565673447017</c:v>
                </c:pt>
                <c:pt idx="69">
                  <c:v>1.1244003301861261</c:v>
                </c:pt>
                <c:pt idx="70">
                  <c:v>1.0693081575184298</c:v>
                </c:pt>
                <c:pt idx="71">
                  <c:v>1.080399518406951</c:v>
                </c:pt>
                <c:pt idx="72">
                  <c:v>1.0847287875087845</c:v>
                </c:pt>
                <c:pt idx="73">
                  <c:v>1.0554428788312653</c:v>
                </c:pt>
                <c:pt idx="74">
                  <c:v>1.05602237362236</c:v>
                </c:pt>
                <c:pt idx="75">
                  <c:v>1.0395997405549651</c:v>
                </c:pt>
                <c:pt idx="76">
                  <c:v>1.0277189398782178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298192"/>
        <c:axId val="369295840"/>
      </c:scatterChart>
      <c:valAx>
        <c:axId val="369298192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K1 = P1*N1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295840"/>
        <c:crosses val="autoZero"/>
        <c:crossBetween val="midCat"/>
      </c:valAx>
      <c:valAx>
        <c:axId val="36929584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Relative</a:t>
                </a:r>
                <a:r>
                  <a:rPr lang="en-US" b="1" baseline="0">
                    <a:solidFill>
                      <a:schemeClr val="tx1"/>
                    </a:solidFill>
                  </a:rPr>
                  <a:t> Risk</a:t>
                </a:r>
                <a:endParaRPr lang="en-US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29819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Minimum Statistically-Significant Relative Risk: </a:t>
            </a:r>
            <a:br>
              <a:rPr lang="en-US" sz="1400" b="1">
                <a:solidFill>
                  <a:schemeClr val="tx1"/>
                </a:solidFill>
              </a:rPr>
            </a:br>
            <a:r>
              <a:rPr lang="en-US" sz="1400" b="1">
                <a:solidFill>
                  <a:schemeClr val="tx1"/>
                </a:solidFill>
              </a:rPr>
              <a:t>Model vs. Actual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'RR-Model'!$AP$42</c:f>
              <c:strCache>
                <c:ptCount val="1"/>
                <c:pt idx="0">
                  <c:v>RR1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'RR-Model'!$AO$43:$AO$115</c:f>
              <c:numCache>
                <c:formatCode>0.00000</c:formatCode>
                <c:ptCount val="73"/>
                <c:pt idx="0" formatCode="0.00">
                  <c:v>5</c:v>
                </c:pt>
                <c:pt idx="1">
                  <c:v>5</c:v>
                </c:pt>
                <c:pt idx="2" formatCode="0.00">
                  <c:v>5.12</c:v>
                </c:pt>
                <c:pt idx="3" formatCode="0.00">
                  <c:v>6.25</c:v>
                </c:pt>
                <c:pt idx="4" formatCode="0.00">
                  <c:v>6.4</c:v>
                </c:pt>
                <c:pt idx="5" formatCode="0.00">
                  <c:v>6.48</c:v>
                </c:pt>
                <c:pt idx="6" formatCode="0.00">
                  <c:v>7.2</c:v>
                </c:pt>
                <c:pt idx="7" formatCode="0.00">
                  <c:v>7.2</c:v>
                </c:pt>
                <c:pt idx="8" formatCode="0.00">
                  <c:v>8</c:v>
                </c:pt>
                <c:pt idx="9" formatCode="0.00">
                  <c:v>8</c:v>
                </c:pt>
                <c:pt idx="10" formatCode="0.00">
                  <c:v>8</c:v>
                </c:pt>
                <c:pt idx="11" formatCode="0.00">
                  <c:v>9</c:v>
                </c:pt>
                <c:pt idx="12" formatCode="0.00">
                  <c:v>9.8000000000000007</c:v>
                </c:pt>
                <c:pt idx="13" formatCode="0.00">
                  <c:v>9.8000000000000007</c:v>
                </c:pt>
                <c:pt idx="14" formatCode="General">
                  <c:v>10</c:v>
                </c:pt>
                <c:pt idx="15" formatCode="General">
                  <c:v>10</c:v>
                </c:pt>
                <c:pt idx="16" formatCode="General">
                  <c:v>12.5</c:v>
                </c:pt>
                <c:pt idx="17" formatCode="General">
                  <c:v>12.5</c:v>
                </c:pt>
                <c:pt idx="18" formatCode="General">
                  <c:v>12.8</c:v>
                </c:pt>
                <c:pt idx="19" formatCode="General">
                  <c:v>12.8</c:v>
                </c:pt>
                <c:pt idx="20" formatCode="General">
                  <c:v>14.4</c:v>
                </c:pt>
                <c:pt idx="21" formatCode="General">
                  <c:v>16</c:v>
                </c:pt>
                <c:pt idx="22" formatCode="General">
                  <c:v>16.2</c:v>
                </c:pt>
                <c:pt idx="23" formatCode="General">
                  <c:v>18</c:v>
                </c:pt>
                <c:pt idx="24" formatCode="General">
                  <c:v>18</c:v>
                </c:pt>
                <c:pt idx="25" formatCode="General">
                  <c:v>19.600000000000001</c:v>
                </c:pt>
                <c:pt idx="26" formatCode="General">
                  <c:v>20</c:v>
                </c:pt>
                <c:pt idx="27" formatCode="General">
                  <c:v>20</c:v>
                </c:pt>
                <c:pt idx="28" formatCode="General">
                  <c:v>20</c:v>
                </c:pt>
                <c:pt idx="29" formatCode="General">
                  <c:v>24.5</c:v>
                </c:pt>
                <c:pt idx="30" formatCode="General">
                  <c:v>25</c:v>
                </c:pt>
                <c:pt idx="31" formatCode="General">
                  <c:v>25.6</c:v>
                </c:pt>
                <c:pt idx="32" formatCode="General">
                  <c:v>28.8</c:v>
                </c:pt>
                <c:pt idx="33" formatCode="General">
                  <c:v>31.25</c:v>
                </c:pt>
                <c:pt idx="34" formatCode="General">
                  <c:v>32</c:v>
                </c:pt>
                <c:pt idx="35" formatCode="General">
                  <c:v>32</c:v>
                </c:pt>
                <c:pt idx="36" formatCode="General">
                  <c:v>32.4</c:v>
                </c:pt>
                <c:pt idx="37" formatCode="General">
                  <c:v>39.200000000000003</c:v>
                </c:pt>
                <c:pt idx="38" formatCode="General">
                  <c:v>40</c:v>
                </c:pt>
                <c:pt idx="39" formatCode="General">
                  <c:v>45</c:v>
                </c:pt>
                <c:pt idx="40" formatCode="General">
                  <c:v>49</c:v>
                </c:pt>
                <c:pt idx="41" formatCode="General">
                  <c:v>50</c:v>
                </c:pt>
                <c:pt idx="42" formatCode="General">
                  <c:v>50</c:v>
                </c:pt>
                <c:pt idx="43" formatCode="General">
                  <c:v>50</c:v>
                </c:pt>
                <c:pt idx="44" formatCode="General">
                  <c:v>51.2</c:v>
                </c:pt>
                <c:pt idx="45" formatCode="General">
                  <c:v>62.5</c:v>
                </c:pt>
                <c:pt idx="46" formatCode="General">
                  <c:v>64.8</c:v>
                </c:pt>
                <c:pt idx="47" formatCode="General">
                  <c:v>72</c:v>
                </c:pt>
                <c:pt idx="48" formatCode="General">
                  <c:v>80</c:v>
                </c:pt>
                <c:pt idx="49" formatCode="General">
                  <c:v>80</c:v>
                </c:pt>
                <c:pt idx="50" formatCode="General">
                  <c:v>90</c:v>
                </c:pt>
                <c:pt idx="51" formatCode="General">
                  <c:v>98</c:v>
                </c:pt>
                <c:pt idx="52" formatCode="General">
                  <c:v>98</c:v>
                </c:pt>
                <c:pt idx="53" formatCode="General">
                  <c:v>100</c:v>
                </c:pt>
                <c:pt idx="54" formatCode="General">
                  <c:v>125</c:v>
                </c:pt>
                <c:pt idx="55" formatCode="General">
                  <c:v>125</c:v>
                </c:pt>
                <c:pt idx="56" formatCode="General">
                  <c:v>128</c:v>
                </c:pt>
                <c:pt idx="57" formatCode="General">
                  <c:v>160</c:v>
                </c:pt>
                <c:pt idx="58" formatCode="General">
                  <c:v>162</c:v>
                </c:pt>
                <c:pt idx="59" formatCode="General">
                  <c:v>180</c:v>
                </c:pt>
                <c:pt idx="60" formatCode="General">
                  <c:v>200</c:v>
                </c:pt>
                <c:pt idx="61" formatCode="General">
                  <c:v>200</c:v>
                </c:pt>
                <c:pt idx="62" formatCode="General">
                  <c:v>245</c:v>
                </c:pt>
                <c:pt idx="63" formatCode="General">
                  <c:v>250</c:v>
                </c:pt>
                <c:pt idx="64" formatCode="General">
                  <c:v>312.5</c:v>
                </c:pt>
                <c:pt idx="65" formatCode="General">
                  <c:v>320</c:v>
                </c:pt>
                <c:pt idx="66" formatCode="General">
                  <c:v>450</c:v>
                </c:pt>
                <c:pt idx="67" formatCode="General">
                  <c:v>490</c:v>
                </c:pt>
                <c:pt idx="68" formatCode="General">
                  <c:v>500</c:v>
                </c:pt>
                <c:pt idx="69" formatCode="General">
                  <c:v>500</c:v>
                </c:pt>
                <c:pt idx="70" formatCode="General">
                  <c:v>800</c:v>
                </c:pt>
                <c:pt idx="71" formatCode="General">
                  <c:v>980</c:v>
                </c:pt>
                <c:pt idx="72" formatCode="General">
                  <c:v>1000</c:v>
                </c:pt>
              </c:numCache>
            </c:numRef>
          </c:xVal>
          <c:yVal>
            <c:numRef>
              <c:f>'RR-Model'!$AP$43:$AP$115</c:f>
              <c:numCache>
                <c:formatCode>0.00</c:formatCode>
                <c:ptCount val="73"/>
                <c:pt idx="0">
                  <c:v>2.7530450811531626</c:v>
                </c:pt>
                <c:pt idx="1">
                  <c:v>2.7530450811531626</c:v>
                </c:pt>
                <c:pt idx="2">
                  <c:v>2.7323797804370971</c:v>
                </c:pt>
                <c:pt idx="3">
                  <c:v>2.5679711876320432</c:v>
                </c:pt>
                <c:pt idx="4">
                  <c:v>2.5494875807614035</c:v>
                </c:pt>
                <c:pt idx="5">
                  <c:v>2.5398931381663084</c:v>
                </c:pt>
                <c:pt idx="6">
                  <c:v>2.4608709009609688</c:v>
                </c:pt>
                <c:pt idx="7">
                  <c:v>2.4608709009609688</c:v>
                </c:pt>
                <c:pt idx="8">
                  <c:v>2.3859038243496773</c:v>
                </c:pt>
                <c:pt idx="9">
                  <c:v>2.3859038243496773</c:v>
                </c:pt>
                <c:pt idx="10">
                  <c:v>2.3859038243496773</c:v>
                </c:pt>
                <c:pt idx="11">
                  <c:v>2.3066426563600357</c:v>
                </c:pt>
                <c:pt idx="12">
                  <c:v>2.2521750579665447</c:v>
                </c:pt>
                <c:pt idx="13">
                  <c:v>2.2521750579665447</c:v>
                </c:pt>
                <c:pt idx="14">
                  <c:v>2.2395900646091231</c:v>
                </c:pt>
                <c:pt idx="15">
                  <c:v>2.2395900646091231</c:v>
                </c:pt>
                <c:pt idx="16">
                  <c:v>2.1087230594797419</c:v>
                </c:pt>
                <c:pt idx="17">
                  <c:v>2.1087230594797419</c:v>
                </c:pt>
                <c:pt idx="18">
                  <c:v>2.0956531757207268</c:v>
                </c:pt>
                <c:pt idx="19">
                  <c:v>2.0956531757207268</c:v>
                </c:pt>
                <c:pt idx="20">
                  <c:v>2.0329917205076025</c:v>
                </c:pt>
                <c:pt idx="21">
                  <c:v>1.9799819922700268</c:v>
                </c:pt>
                <c:pt idx="22">
                  <c:v>1.9739139339739793</c:v>
                </c:pt>
                <c:pt idx="23">
                  <c:v>1.923935882899785</c:v>
                </c:pt>
                <c:pt idx="24">
                  <c:v>1.923935882899785</c:v>
                </c:pt>
                <c:pt idx="25">
                  <c:v>1.885421474720802</c:v>
                </c:pt>
                <c:pt idx="26">
                  <c:v>1.8765225405765813</c:v>
                </c:pt>
                <c:pt idx="27">
                  <c:v>1.8765225405765813</c:v>
                </c:pt>
                <c:pt idx="28">
                  <c:v>1.8765225405765813</c:v>
                </c:pt>
                <c:pt idx="29">
                  <c:v>1.7919450424855299</c:v>
                </c:pt>
                <c:pt idx="30">
                  <c:v>1.7839855938160216</c:v>
                </c:pt>
                <c:pt idx="31">
                  <c:v>1.7747437903807017</c:v>
                </c:pt>
                <c:pt idx="32">
                  <c:v>1.7304354504804844</c:v>
                </c:pt>
                <c:pt idx="33">
                  <c:v>1.7012180324612651</c:v>
                </c:pt>
                <c:pt idx="34">
                  <c:v>1.6929519121748386</c:v>
                </c:pt>
                <c:pt idx="35">
                  <c:v>1.6929519121748386</c:v>
                </c:pt>
                <c:pt idx="36">
                  <c:v>1.6886611470050683</c:v>
                </c:pt>
                <c:pt idx="37">
                  <c:v>1.6260875289832724</c:v>
                </c:pt>
                <c:pt idx="38">
                  <c:v>1.6197950323045616</c:v>
                </c:pt>
                <c:pt idx="39">
                  <c:v>1.5843483603843875</c:v>
                </c:pt>
                <c:pt idx="40">
                  <c:v>1.5599897098685869</c:v>
                </c:pt>
                <c:pt idx="41">
                  <c:v>1.554361529739871</c:v>
                </c:pt>
                <c:pt idx="42">
                  <c:v>1.554361529739871</c:v>
                </c:pt>
                <c:pt idx="43">
                  <c:v>1.554361529739871</c:v>
                </c:pt>
                <c:pt idx="44">
                  <c:v>1.5478265878603634</c:v>
                </c:pt>
                <c:pt idx="45">
                  <c:v>1.4958360258436492</c:v>
                </c:pt>
                <c:pt idx="46">
                  <c:v>1.4869569669869898</c:v>
                </c:pt>
                <c:pt idx="47">
                  <c:v>1.4619679414498925</c:v>
                </c:pt>
                <c:pt idx="48">
                  <c:v>1.4382612702882906</c:v>
                </c:pt>
                <c:pt idx="49">
                  <c:v>1.4382612702882906</c:v>
                </c:pt>
                <c:pt idx="50">
                  <c:v>1.4131966882030409</c:v>
                </c:pt>
                <c:pt idx="51">
                  <c:v>1.3959725212427649</c:v>
                </c:pt>
                <c:pt idx="52">
                  <c:v>1.3959725212427649</c:v>
                </c:pt>
                <c:pt idx="53">
                  <c:v>1.3919927969080108</c:v>
                </c:pt>
                <c:pt idx="54">
                  <c:v>1.3506090162306326</c:v>
                </c:pt>
                <c:pt idx="55">
                  <c:v>1.3506090162306326</c:v>
                </c:pt>
                <c:pt idx="56">
                  <c:v>1.3464759560874193</c:v>
                </c:pt>
                <c:pt idx="57">
                  <c:v>1.3098975161522808</c:v>
                </c:pt>
                <c:pt idx="58">
                  <c:v>1.3079786276332617</c:v>
                </c:pt>
                <c:pt idx="59">
                  <c:v>1.2921741801921938</c:v>
                </c:pt>
                <c:pt idx="60">
                  <c:v>1.2771807648699354</c:v>
                </c:pt>
                <c:pt idx="61">
                  <c:v>1.2771807648699354</c:v>
                </c:pt>
                <c:pt idx="62">
                  <c:v>1.2504350115933089</c:v>
                </c:pt>
                <c:pt idx="63">
                  <c:v>1.2479180129218246</c:v>
                </c:pt>
                <c:pt idx="64">
                  <c:v>1.2217446118959483</c:v>
                </c:pt>
                <c:pt idx="65">
                  <c:v>1.2191306351441453</c:v>
                </c:pt>
                <c:pt idx="66">
                  <c:v>1.1847871765799569</c:v>
                </c:pt>
                <c:pt idx="67">
                  <c:v>1.1770842949441604</c:v>
                </c:pt>
                <c:pt idx="68">
                  <c:v>1.1753045081153162</c:v>
                </c:pt>
                <c:pt idx="69">
                  <c:v>1.1753045081153162</c:v>
                </c:pt>
                <c:pt idx="70">
                  <c:v>1.1385903824349677</c:v>
                </c:pt>
                <c:pt idx="71">
                  <c:v>1.1252175057966545</c:v>
                </c:pt>
                <c:pt idx="72">
                  <c:v>1.1239590064609122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'RR-Model'!$AQ$42</c:f>
              <c:strCache>
                <c:ptCount val="1"/>
                <c:pt idx="0">
                  <c:v>RRo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'RR-Model'!$AO$43:$AO$115</c:f>
              <c:numCache>
                <c:formatCode>0.00000</c:formatCode>
                <c:ptCount val="73"/>
                <c:pt idx="0" formatCode="0.00">
                  <c:v>5</c:v>
                </c:pt>
                <c:pt idx="1">
                  <c:v>5</c:v>
                </c:pt>
                <c:pt idx="2" formatCode="0.00">
                  <c:v>5.12</c:v>
                </c:pt>
                <c:pt idx="3" formatCode="0.00">
                  <c:v>6.25</c:v>
                </c:pt>
                <c:pt idx="4" formatCode="0.00">
                  <c:v>6.4</c:v>
                </c:pt>
                <c:pt idx="5" formatCode="0.00">
                  <c:v>6.48</c:v>
                </c:pt>
                <c:pt idx="6" formatCode="0.00">
                  <c:v>7.2</c:v>
                </c:pt>
                <c:pt idx="7" formatCode="0.00">
                  <c:v>7.2</c:v>
                </c:pt>
                <c:pt idx="8" formatCode="0.00">
                  <c:v>8</c:v>
                </c:pt>
                <c:pt idx="9" formatCode="0.00">
                  <c:v>8</c:v>
                </c:pt>
                <c:pt idx="10" formatCode="0.00">
                  <c:v>8</c:v>
                </c:pt>
                <c:pt idx="11" formatCode="0.00">
                  <c:v>9</c:v>
                </c:pt>
                <c:pt idx="12" formatCode="0.00">
                  <c:v>9.8000000000000007</c:v>
                </c:pt>
                <c:pt idx="13" formatCode="0.00">
                  <c:v>9.8000000000000007</c:v>
                </c:pt>
                <c:pt idx="14" formatCode="General">
                  <c:v>10</c:v>
                </c:pt>
                <c:pt idx="15" formatCode="General">
                  <c:v>10</c:v>
                </c:pt>
                <c:pt idx="16" formatCode="General">
                  <c:v>12.5</c:v>
                </c:pt>
                <c:pt idx="17" formatCode="General">
                  <c:v>12.5</c:v>
                </c:pt>
                <c:pt idx="18" formatCode="General">
                  <c:v>12.8</c:v>
                </c:pt>
                <c:pt idx="19" formatCode="General">
                  <c:v>12.8</c:v>
                </c:pt>
                <c:pt idx="20" formatCode="General">
                  <c:v>14.4</c:v>
                </c:pt>
                <c:pt idx="21" formatCode="General">
                  <c:v>16</c:v>
                </c:pt>
                <c:pt idx="22" formatCode="General">
                  <c:v>16.2</c:v>
                </c:pt>
                <c:pt idx="23" formatCode="General">
                  <c:v>18</c:v>
                </c:pt>
                <c:pt idx="24" formatCode="General">
                  <c:v>18</c:v>
                </c:pt>
                <c:pt idx="25" formatCode="General">
                  <c:v>19.600000000000001</c:v>
                </c:pt>
                <c:pt idx="26" formatCode="General">
                  <c:v>20</c:v>
                </c:pt>
                <c:pt idx="27" formatCode="General">
                  <c:v>20</c:v>
                </c:pt>
                <c:pt idx="28" formatCode="General">
                  <c:v>20</c:v>
                </c:pt>
                <c:pt idx="29" formatCode="General">
                  <c:v>24.5</c:v>
                </c:pt>
                <c:pt idx="30" formatCode="General">
                  <c:v>25</c:v>
                </c:pt>
                <c:pt idx="31" formatCode="General">
                  <c:v>25.6</c:v>
                </c:pt>
                <c:pt idx="32" formatCode="General">
                  <c:v>28.8</c:v>
                </c:pt>
                <c:pt idx="33" formatCode="General">
                  <c:v>31.25</c:v>
                </c:pt>
                <c:pt idx="34" formatCode="General">
                  <c:v>32</c:v>
                </c:pt>
                <c:pt idx="35" formatCode="General">
                  <c:v>32</c:v>
                </c:pt>
                <c:pt idx="36" formatCode="General">
                  <c:v>32.4</c:v>
                </c:pt>
                <c:pt idx="37" formatCode="General">
                  <c:v>39.200000000000003</c:v>
                </c:pt>
                <c:pt idx="38" formatCode="General">
                  <c:v>40</c:v>
                </c:pt>
                <c:pt idx="39" formatCode="General">
                  <c:v>45</c:v>
                </c:pt>
                <c:pt idx="40" formatCode="General">
                  <c:v>49</c:v>
                </c:pt>
                <c:pt idx="41" formatCode="General">
                  <c:v>50</c:v>
                </c:pt>
                <c:pt idx="42" formatCode="General">
                  <c:v>50</c:v>
                </c:pt>
                <c:pt idx="43" formatCode="General">
                  <c:v>50</c:v>
                </c:pt>
                <c:pt idx="44" formatCode="General">
                  <c:v>51.2</c:v>
                </c:pt>
                <c:pt idx="45" formatCode="General">
                  <c:v>62.5</c:v>
                </c:pt>
                <c:pt idx="46" formatCode="General">
                  <c:v>64.8</c:v>
                </c:pt>
                <c:pt idx="47" formatCode="General">
                  <c:v>72</c:v>
                </c:pt>
                <c:pt idx="48" formatCode="General">
                  <c:v>80</c:v>
                </c:pt>
                <c:pt idx="49" formatCode="General">
                  <c:v>80</c:v>
                </c:pt>
                <c:pt idx="50" formatCode="General">
                  <c:v>90</c:v>
                </c:pt>
                <c:pt idx="51" formatCode="General">
                  <c:v>98</c:v>
                </c:pt>
                <c:pt idx="52" formatCode="General">
                  <c:v>98</c:v>
                </c:pt>
                <c:pt idx="53" formatCode="General">
                  <c:v>100</c:v>
                </c:pt>
                <c:pt idx="54" formatCode="General">
                  <c:v>125</c:v>
                </c:pt>
                <c:pt idx="55" formatCode="General">
                  <c:v>125</c:v>
                </c:pt>
                <c:pt idx="56" formatCode="General">
                  <c:v>128</c:v>
                </c:pt>
                <c:pt idx="57" formatCode="General">
                  <c:v>160</c:v>
                </c:pt>
                <c:pt idx="58" formatCode="General">
                  <c:v>162</c:v>
                </c:pt>
                <c:pt idx="59" formatCode="General">
                  <c:v>180</c:v>
                </c:pt>
                <c:pt idx="60" formatCode="General">
                  <c:v>200</c:v>
                </c:pt>
                <c:pt idx="61" formatCode="General">
                  <c:v>200</c:v>
                </c:pt>
                <c:pt idx="62" formatCode="General">
                  <c:v>245</c:v>
                </c:pt>
                <c:pt idx="63" formatCode="General">
                  <c:v>250</c:v>
                </c:pt>
                <c:pt idx="64" formatCode="General">
                  <c:v>312.5</c:v>
                </c:pt>
                <c:pt idx="65" formatCode="General">
                  <c:v>320</c:v>
                </c:pt>
                <c:pt idx="66" formatCode="General">
                  <c:v>450</c:v>
                </c:pt>
                <c:pt idx="67" formatCode="General">
                  <c:v>490</c:v>
                </c:pt>
                <c:pt idx="68" formatCode="General">
                  <c:v>500</c:v>
                </c:pt>
                <c:pt idx="69" formatCode="General">
                  <c:v>500</c:v>
                </c:pt>
                <c:pt idx="70" formatCode="General">
                  <c:v>800</c:v>
                </c:pt>
                <c:pt idx="71" formatCode="General">
                  <c:v>980</c:v>
                </c:pt>
                <c:pt idx="72" formatCode="General">
                  <c:v>1000</c:v>
                </c:pt>
              </c:numCache>
            </c:numRef>
          </c:xVal>
          <c:yVal>
            <c:numRef>
              <c:f>'RR-Model'!$AQ$43:$AQ$115</c:f>
              <c:numCache>
                <c:formatCode>0.00</c:formatCode>
                <c:ptCount val="73"/>
                <c:pt idx="0">
                  <c:v>2.6874491540895589</c:v>
                </c:pt>
                <c:pt idx="1">
                  <c:v>2.7753965721908398</c:v>
                </c:pt>
                <c:pt idx="2">
                  <c:v>2.7138220339844525</c:v>
                </c:pt>
                <c:pt idx="3">
                  <c:v>2.5103363611767437</c:v>
                </c:pt>
                <c:pt idx="4">
                  <c:v>2.3566393851600953</c:v>
                </c:pt>
                <c:pt idx="5">
                  <c:v>2.4597382064363642</c:v>
                </c:pt>
                <c:pt idx="6">
                  <c:v>2.1286131394636429</c:v>
                </c:pt>
                <c:pt idx="7">
                  <c:v>2.3223108308773823</c:v>
                </c:pt>
                <c:pt idx="8">
                  <c:v>1.7007784801586265</c:v>
                </c:pt>
                <c:pt idx="9">
                  <c:v>2.2705650780395863</c:v>
                </c:pt>
                <c:pt idx="10">
                  <c:v>2.288234056317008</c:v>
                </c:pt>
                <c:pt idx="11">
                  <c:v>2.1883633646627811</c:v>
                </c:pt>
                <c:pt idx="12">
                  <c:v>2.0861290095186296</c:v>
                </c:pt>
                <c:pt idx="13">
                  <c:v>2.1334185780070913</c:v>
                </c:pt>
                <c:pt idx="14">
                  <c:v>2.0239642543245737</c:v>
                </c:pt>
                <c:pt idx="15">
                  <c:v>2.1199335708609999</c:v>
                </c:pt>
                <c:pt idx="16">
                  <c:v>1.9586443828662883</c:v>
                </c:pt>
                <c:pt idx="17">
                  <c:v>1.9706635905957897</c:v>
                </c:pt>
                <c:pt idx="18">
                  <c:v>1.8017396687166829</c:v>
                </c:pt>
                <c:pt idx="19">
                  <c:v>1.9211567484050913</c:v>
                </c:pt>
                <c:pt idx="20">
                  <c:v>1.821870411154823</c:v>
                </c:pt>
                <c:pt idx="21">
                  <c:v>1.831757920005098</c:v>
                </c:pt>
                <c:pt idx="22">
                  <c:v>1.7995271620687636</c:v>
                </c:pt>
                <c:pt idx="23">
                  <c:v>1.4647482630692086</c:v>
                </c:pt>
                <c:pt idx="24">
                  <c:v>1.769203638820374</c:v>
                </c:pt>
                <c:pt idx="25">
                  <c:v>1.6862632687346135</c:v>
                </c:pt>
                <c:pt idx="26">
                  <c:v>1.6215997232830548</c:v>
                </c:pt>
                <c:pt idx="27">
                  <c:v>1.7061929306793169</c:v>
                </c:pt>
                <c:pt idx="28">
                  <c:v>1.7327093561526266</c:v>
                </c:pt>
                <c:pt idx="29">
                  <c:v>1.6492125108281783</c:v>
                </c:pt>
                <c:pt idx="30">
                  <c:v>1.6393252714526378</c:v>
                </c:pt>
                <c:pt idx="31">
                  <c:v>1.5890213022940203</c:v>
                </c:pt>
                <c:pt idx="32">
                  <c:v>1.5075639899267923</c:v>
                </c:pt>
                <c:pt idx="33">
                  <c:v>1.5465483030476934</c:v>
                </c:pt>
                <c:pt idx="34">
                  <c:v>1.3477585108841024</c:v>
                </c:pt>
                <c:pt idx="35">
                  <c:v>1.5510150311077477</c:v>
                </c:pt>
                <c:pt idx="36">
                  <c:v>1.5159001308156275</c:v>
                </c:pt>
                <c:pt idx="37">
                  <c:v>1.4288966707605186</c:v>
                </c:pt>
                <c:pt idx="38">
                  <c:v>1.4589227041337292</c:v>
                </c:pt>
                <c:pt idx="39">
                  <c:v>1.4457287988851324</c:v>
                </c:pt>
                <c:pt idx="40">
                  <c:v>1.4368842500527901</c:v>
                </c:pt>
                <c:pt idx="41">
                  <c:v>1.277874530527102</c:v>
                </c:pt>
                <c:pt idx="42">
                  <c:v>1.4291659603613951</c:v>
                </c:pt>
                <c:pt idx="43">
                  <c:v>1.4334456301369378</c:v>
                </c:pt>
                <c:pt idx="44">
                  <c:v>1.3713530129339062</c:v>
                </c:pt>
                <c:pt idx="45">
                  <c:v>1.3596237853546149</c:v>
                </c:pt>
                <c:pt idx="46">
                  <c:v>1.3274310654390042</c:v>
                </c:pt>
                <c:pt idx="47">
                  <c:v>1.2314008537983794</c:v>
                </c:pt>
                <c:pt idx="48">
                  <c:v>1.2928050494065708</c:v>
                </c:pt>
                <c:pt idx="49">
                  <c:v>1.3255827416990034</c:v>
                </c:pt>
                <c:pt idx="50">
                  <c:v>1.2956547730138994</c:v>
                </c:pt>
                <c:pt idx="51">
                  <c:v>1.1982561109511343</c:v>
                </c:pt>
                <c:pt idx="52">
                  <c:v>1.2975301334164593</c:v>
                </c:pt>
                <c:pt idx="53">
                  <c:v>1.2961411422022049</c:v>
                </c:pt>
                <c:pt idx="54">
                  <c:v>1.2315912349245657</c:v>
                </c:pt>
                <c:pt idx="55">
                  <c:v>1.256453066976613</c:v>
                </c:pt>
                <c:pt idx="56">
                  <c:v>1.173422599726097</c:v>
                </c:pt>
                <c:pt idx="57">
                  <c:v>1.2180804614107925</c:v>
                </c:pt>
                <c:pt idx="58">
                  <c:v>1.1541211529291009</c:v>
                </c:pt>
                <c:pt idx="59">
                  <c:v>1.191553899516606</c:v>
                </c:pt>
                <c:pt idx="60">
                  <c:v>1.138687797014718</c:v>
                </c:pt>
                <c:pt idx="61">
                  <c:v>1.2037705333947442</c:v>
                </c:pt>
                <c:pt idx="62">
                  <c:v>1.1800140473256204</c:v>
                </c:pt>
                <c:pt idx="63">
                  <c:v>1.1727577395613935</c:v>
                </c:pt>
                <c:pt idx="64">
                  <c:v>1.1109234284844116</c:v>
                </c:pt>
                <c:pt idx="65">
                  <c:v>1.1423462548626231</c:v>
                </c:pt>
                <c:pt idx="66">
                  <c:v>1.092423673632648</c:v>
                </c:pt>
                <c:pt idx="67">
                  <c:v>1.1220381969848168</c:v>
                </c:pt>
                <c:pt idx="68">
                  <c:v>1.1132565673447017</c:v>
                </c:pt>
                <c:pt idx="69">
                  <c:v>1.1244003301861261</c:v>
                </c:pt>
                <c:pt idx="70">
                  <c:v>1.0693081575184298</c:v>
                </c:pt>
                <c:pt idx="71">
                  <c:v>1.080399518406951</c:v>
                </c:pt>
                <c:pt idx="72">
                  <c:v>1.0847287875087845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902944"/>
        <c:axId val="539903336"/>
      </c:scatterChart>
      <c:valAx>
        <c:axId val="539902944"/>
        <c:scaling>
          <c:orientation val="minMax"/>
          <c:max val="5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K1 = P1*N1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03336"/>
        <c:crosses val="autoZero"/>
        <c:crossBetween val="midCat"/>
      </c:valAx>
      <c:valAx>
        <c:axId val="53990333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Relative Risk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902944"/>
        <c:crosses val="autoZero"/>
        <c:crossBetween val="midCat"/>
        <c:majorUnit val="0.5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266700</xdr:colOff>
      <xdr:row>41</xdr:row>
      <xdr:rowOff>128587</xdr:rowOff>
    </xdr:from>
    <xdr:to>
      <xdr:col>52</xdr:col>
      <xdr:colOff>247650</xdr:colOff>
      <xdr:row>56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0</xdr:colOff>
      <xdr:row>59</xdr:row>
      <xdr:rowOff>0</xdr:rowOff>
    </xdr:from>
    <xdr:to>
      <xdr:col>51</xdr:col>
      <xdr:colOff>590550</xdr:colOff>
      <xdr:row>73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161925</xdr:colOff>
      <xdr:row>66</xdr:row>
      <xdr:rowOff>0</xdr:rowOff>
    </xdr:from>
    <xdr:to>
      <xdr:col>51</xdr:col>
      <xdr:colOff>314325</xdr:colOff>
      <xdr:row>67</xdr:row>
      <xdr:rowOff>66675</xdr:rowOff>
    </xdr:to>
    <xdr:sp macro="" textlink="">
      <xdr:nvSpPr>
        <xdr:cNvPr id="4" name="TextBox 3"/>
        <xdr:cNvSpPr txBox="1"/>
      </xdr:nvSpPr>
      <xdr:spPr>
        <a:xfrm>
          <a:off x="18087975" y="12639675"/>
          <a:ext cx="19812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/>
              </a:solidFill>
            </a:rPr>
            <a:t>RRmodel = 1 + 2*Z/Sqrt(k1)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0.15694</cdr:x>
      <cdr:y>0.5706</cdr:y>
    </cdr:from>
    <cdr:to>
      <cdr:x>0.59028</cdr:x>
      <cdr:y>0.66435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717550" y="1565275"/>
          <a:ext cx="1981200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RRmodel = 1 + 2*Z/Sqrt(k1)</a:t>
          </a:r>
        </a:p>
      </cdr:txBody>
    </cdr:sp>
  </cdr:relSizeAnchor>
  <cdr:relSizeAnchor xmlns:cdr="http://schemas.openxmlformats.org/drawingml/2006/chartDrawing">
    <cdr:from>
      <cdr:x>0.09236</cdr:x>
      <cdr:y>0.87963</cdr:y>
    </cdr:from>
    <cdr:to>
      <cdr:x>0.35</cdr:x>
      <cdr:y>0.9809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422275" y="2413000"/>
          <a:ext cx="1177925" cy="277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solidFill>
                <a:schemeClr val="tx1"/>
              </a:solidFill>
            </a:rPr>
            <a:t>RRactual (K1)</a:t>
          </a:r>
        </a:p>
      </cdr:txBody>
    </cdr:sp>
  </cdr:relSizeAnchor>
  <cdr:relSizeAnchor xmlns:cdr="http://schemas.openxmlformats.org/drawingml/2006/chartDrawing">
    <cdr:from>
      <cdr:x>0.46042</cdr:x>
      <cdr:y>0.23727</cdr:y>
    </cdr:from>
    <cdr:to>
      <cdr:x>0.93819</cdr:x>
      <cdr:y>0.38657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05025" y="650875"/>
          <a:ext cx="2184400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Assumes:    N1=N2;         P1&lt;P2</a:t>
          </a:r>
          <a:br>
            <a:rPr lang="en-US" sz="1200" b="1"/>
          </a:br>
          <a:r>
            <a:rPr lang="en-US" sz="1200" b="1"/>
            <a:t>RR =P2/P1 &gt; 1;  </a:t>
          </a:r>
          <a:r>
            <a:rPr lang="en-US" sz="1200" b="1" baseline="0"/>
            <a:t> </a:t>
          </a:r>
          <a:r>
            <a:rPr lang="en-US" sz="1200" b="1"/>
            <a:t>K1 = P1*N1 &gt; 5</a:t>
          </a:r>
          <a:r>
            <a:rPr lang="en-US" sz="1200" b="1" baseline="0"/>
            <a:t> </a:t>
          </a:r>
          <a:endParaRPr lang="en-US" sz="12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0.22361</cdr:x>
      <cdr:y>0.66435</cdr:y>
    </cdr:from>
    <cdr:to>
      <cdr:x>0.65694</cdr:x>
      <cdr:y>0.81366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1022350" y="1822450"/>
          <a:ext cx="1981200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RRactual (K1)</a:t>
          </a:r>
        </a:p>
      </cdr:txBody>
    </cdr:sp>
  </cdr:relSizeAnchor>
  <cdr:relSizeAnchor xmlns:cdr="http://schemas.openxmlformats.org/drawingml/2006/chartDrawing">
    <cdr:from>
      <cdr:x>0.49167</cdr:x>
      <cdr:y>0.2581</cdr:y>
    </cdr:from>
    <cdr:to>
      <cdr:x>0.95417</cdr:x>
      <cdr:y>0.40741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2247900" y="708025"/>
          <a:ext cx="2114550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Assumes:     N1=N2;       P1&lt;P2</a:t>
          </a:r>
          <a:br>
            <a:rPr lang="en-US" sz="1200" b="1"/>
          </a:br>
          <a:r>
            <a:rPr lang="en-US" sz="1200" b="1"/>
            <a:t>RR =P2/P1 &gt; 1; K1 = P1*N1 &gt; 5</a:t>
          </a:r>
          <a:r>
            <a:rPr lang="en-US" sz="1200" b="1" baseline="0"/>
            <a:t> </a:t>
          </a:r>
          <a:endParaRPr lang="en-US" sz="12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16</xdr:row>
      <xdr:rowOff>9525</xdr:rowOff>
    </xdr:from>
    <xdr:to>
      <xdr:col>6</xdr:col>
      <xdr:colOff>485775</xdr:colOff>
      <xdr:row>18</xdr:row>
      <xdr:rowOff>95250</xdr:rowOff>
    </xdr:to>
    <xdr:pic>
      <xdr:nvPicPr>
        <xdr:cNvPr id="2" name="Picture 1" descr="CI-R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2943225"/>
          <a:ext cx="2857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lit.org/pdf/2014-Schield-RR-Statistical-Significance.pdf" TargetMode="External"/><Relationship Id="rId1" Type="http://schemas.openxmlformats.org/officeDocument/2006/relationships/hyperlink" Target="http://www.statlit.org/xls/2014-Schield-RR-Stat-Sig-Calculator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hutchon.net/confidrr.htm" TargetMode="External"/><Relationship Id="rId1" Type="http://schemas.openxmlformats.org/officeDocument/2006/relationships/hyperlink" Target="http://sphweb.bumc.bu.edu/otlt/MPH-Modules/BS/BS704_Confidence_Intervals/BS704_Confidence_Intervals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J27" sqref="J27"/>
    </sheetView>
  </sheetViews>
  <sheetFormatPr defaultRowHeight="15" x14ac:dyDescent="0.25"/>
  <cols>
    <col min="1" max="1" width="14" customWidth="1"/>
    <col min="3" max="3" width="10.42578125" customWidth="1"/>
    <col min="12" max="12" width="3.5703125" customWidth="1"/>
    <col min="14" max="14" width="11.5703125" bestFit="1" customWidth="1"/>
  </cols>
  <sheetData>
    <row r="1" spans="1:14" x14ac:dyDescent="0.25">
      <c r="B1" s="15" t="s">
        <v>112</v>
      </c>
      <c r="C1" s="10"/>
      <c r="D1" s="10"/>
      <c r="F1" s="18"/>
      <c r="G1" s="18"/>
      <c r="I1" t="s">
        <v>65</v>
      </c>
      <c r="J1" s="18"/>
      <c r="K1" s="55" t="s">
        <v>145</v>
      </c>
      <c r="L1" s="10">
        <v>1</v>
      </c>
      <c r="M1" s="10"/>
    </row>
    <row r="2" spans="1:14" x14ac:dyDescent="0.25">
      <c r="C2" t="s">
        <v>142</v>
      </c>
      <c r="L2" s="10">
        <v>2</v>
      </c>
      <c r="M2" s="10"/>
    </row>
    <row r="3" spans="1:14" x14ac:dyDescent="0.25">
      <c r="C3" s="10" t="s">
        <v>146</v>
      </c>
      <c r="D3" s="10"/>
      <c r="E3" s="10"/>
      <c r="F3" s="10"/>
      <c r="G3" s="10"/>
      <c r="H3" s="10"/>
      <c r="K3" s="10"/>
      <c r="L3">
        <v>3</v>
      </c>
    </row>
    <row r="4" spans="1:14" x14ac:dyDescent="0.25">
      <c r="C4" t="s">
        <v>143</v>
      </c>
      <c r="L4">
        <v>4</v>
      </c>
    </row>
    <row r="5" spans="1:14" ht="15.75" thickBot="1" x14ac:dyDescent="0.3">
      <c r="A5" s="33" t="s">
        <v>43</v>
      </c>
      <c r="B5" s="33" t="s">
        <v>44</v>
      </c>
      <c r="C5" s="33" t="s">
        <v>45</v>
      </c>
      <c r="D5" s="33" t="s">
        <v>46</v>
      </c>
      <c r="E5" s="33" t="s">
        <v>47</v>
      </c>
      <c r="L5">
        <v>5</v>
      </c>
    </row>
    <row r="6" spans="1:14" ht="16.5" thickTop="1" thickBot="1" x14ac:dyDescent="0.3">
      <c r="A6" s="57">
        <v>0.1</v>
      </c>
      <c r="B6" s="1" t="s">
        <v>4</v>
      </c>
      <c r="C6" t="s">
        <v>66</v>
      </c>
      <c r="L6">
        <v>6</v>
      </c>
    </row>
    <row r="7" spans="1:14" ht="16.5" thickTop="1" thickBot="1" x14ac:dyDescent="0.3">
      <c r="A7" s="57">
        <v>100</v>
      </c>
      <c r="B7" s="23" t="s">
        <v>6</v>
      </c>
      <c r="C7" t="s">
        <v>67</v>
      </c>
      <c r="L7">
        <v>7</v>
      </c>
    </row>
    <row r="8" spans="1:14" ht="15.75" thickTop="1" x14ac:dyDescent="0.25">
      <c r="B8" s="1"/>
      <c r="L8">
        <v>8</v>
      </c>
    </row>
    <row r="9" spans="1:14" x14ac:dyDescent="0.25">
      <c r="A9" s="1">
        <f>A7*A6</f>
        <v>10</v>
      </c>
      <c r="B9" t="s">
        <v>59</v>
      </c>
      <c r="E9" s="10" t="str">
        <f ca="1">_xlfn.FORMULATEXT(A9)</f>
        <v>=A7*A6</v>
      </c>
      <c r="G9" t="s">
        <v>138</v>
      </c>
      <c r="K9" s="10"/>
      <c r="L9">
        <v>9</v>
      </c>
    </row>
    <row r="10" spans="1:14" x14ac:dyDescent="0.25">
      <c r="A10" s="77">
        <f>-_xlfn.NORM.S.INV(0.025)</f>
        <v>1.9599639845400538</v>
      </c>
      <c r="B10" t="s">
        <v>148</v>
      </c>
      <c r="E10" s="10" t="str">
        <f ca="1">_xlfn.FORMULATEXT(A10)</f>
        <v>=-NORM.S.INV(0.025)</v>
      </c>
      <c r="L10">
        <v>10</v>
      </c>
    </row>
    <row r="11" spans="1:14" x14ac:dyDescent="0.25">
      <c r="L11">
        <v>11</v>
      </c>
    </row>
    <row r="12" spans="1:14" x14ac:dyDescent="0.25">
      <c r="A12" s="56">
        <f>EXP(A$10*SQRT(2*(1-A$6)/(A$6*A$7)))</f>
        <v>2.2968584423259166</v>
      </c>
      <c r="B12" t="s">
        <v>54</v>
      </c>
      <c r="E12" s="10" t="str">
        <f t="shared" ref="E12:E21" ca="1" si="0">_xlfn.FORMULATEXT(A12)</f>
        <v>=EXP(A$10*SQRT(2*(1-A$6)/(A$6*A$7)))</v>
      </c>
      <c r="F12" s="10"/>
      <c r="G12" s="10"/>
      <c r="H12" s="10"/>
      <c r="I12" s="10"/>
      <c r="J12" s="10"/>
      <c r="L12">
        <v>12</v>
      </c>
      <c r="N12" s="81"/>
    </row>
    <row r="13" spans="1:14" x14ac:dyDescent="0.25">
      <c r="A13" s="56">
        <f t="shared" ref="A13:A21" si="1">EXP(A$10*SQRT((1-A$6)/(A$6*A$7)+(1-A$6*A12)/(A$6*A12*A$7)))</f>
        <v>1.9914974721652086</v>
      </c>
      <c r="B13" t="s">
        <v>55</v>
      </c>
      <c r="E13" s="10" t="str">
        <f t="shared" ca="1" si="0"/>
        <v>=EXP(A$10*SQRT((1-A$6)/(A$6*A$7)+(1-A$6*A12)/(A$6*A12*A$7)))</v>
      </c>
      <c r="L13">
        <v>13</v>
      </c>
      <c r="N13" s="81"/>
    </row>
    <row r="14" spans="1:14" x14ac:dyDescent="0.25">
      <c r="A14" s="56">
        <f t="shared" si="1"/>
        <v>2.0284156813275356</v>
      </c>
      <c r="B14" t="s">
        <v>56</v>
      </c>
      <c r="E14" s="10" t="str">
        <f t="shared" ca="1" si="0"/>
        <v>=EXP(A$10*SQRT((1-A$6)/(A$6*A$7)+(1-A$6*A13)/(A$6*A13*A$7)))</v>
      </c>
      <c r="L14">
        <v>14</v>
      </c>
      <c r="N14" s="81"/>
    </row>
    <row r="15" spans="1:14" x14ac:dyDescent="0.25">
      <c r="A15" s="56">
        <f t="shared" si="1"/>
        <v>2.0233786429311733</v>
      </c>
      <c r="B15" t="s">
        <v>57</v>
      </c>
      <c r="E15" s="10" t="str">
        <f t="shared" ca="1" si="0"/>
        <v>=EXP(A$10*SQRT((1-A$6)/(A$6*A$7)+(1-A$6*A14)/(A$6*A14*A$7)))</v>
      </c>
      <c r="L15">
        <v>15</v>
      </c>
      <c r="N15" s="81"/>
    </row>
    <row r="16" spans="1:14" x14ac:dyDescent="0.25">
      <c r="A16" s="56">
        <f t="shared" si="1"/>
        <v>2.0240553605298319</v>
      </c>
      <c r="B16" t="s">
        <v>58</v>
      </c>
      <c r="E16" s="10" t="str">
        <f t="shared" ca="1" si="0"/>
        <v>=EXP(A$10*SQRT((1-A$6)/(A$6*A$7)+(1-A$6*A15)/(A$6*A15*A$7)))</v>
      </c>
      <c r="L16">
        <v>16</v>
      </c>
      <c r="N16" s="81"/>
    </row>
    <row r="17" spans="1:14" x14ac:dyDescent="0.25">
      <c r="A17" s="56">
        <f t="shared" si="1"/>
        <v>2.0239642543245737</v>
      </c>
      <c r="B17" t="s">
        <v>60</v>
      </c>
      <c r="E17" s="10" t="str">
        <f t="shared" ca="1" si="0"/>
        <v>=EXP(A$10*SQRT((1-A$6)/(A$6*A$7)+(1-A$6*A16)/(A$6*A16*A$7)))</v>
      </c>
      <c r="L17">
        <v>17</v>
      </c>
      <c r="N17" s="81"/>
    </row>
    <row r="18" spans="1:14" x14ac:dyDescent="0.25">
      <c r="A18" s="56">
        <f t="shared" si="1"/>
        <v>2.0239765164656016</v>
      </c>
      <c r="B18" t="s">
        <v>61</v>
      </c>
      <c r="E18" s="10" t="str">
        <f t="shared" ca="1" si="0"/>
        <v>=EXP(A$10*SQRT((1-A$6)/(A$6*A$7)+(1-A$6*A17)/(A$6*A17*A$7)))</v>
      </c>
      <c r="L18">
        <v>18</v>
      </c>
      <c r="N18" s="81"/>
    </row>
    <row r="19" spans="1:14" x14ac:dyDescent="0.25">
      <c r="A19" s="56">
        <f t="shared" si="1"/>
        <v>2.0239748660204477</v>
      </c>
      <c r="B19" t="s">
        <v>62</v>
      </c>
      <c r="E19" s="10" t="str">
        <f t="shared" ca="1" si="0"/>
        <v>=EXP(A$10*SQRT((1-A$6)/(A$6*A$7)+(1-A$6*A18)/(A$6*A18*A$7)))</v>
      </c>
      <c r="L19">
        <v>19</v>
      </c>
      <c r="N19" s="81"/>
    </row>
    <row r="20" spans="1:14" x14ac:dyDescent="0.25">
      <c r="A20" s="56">
        <f t="shared" si="1"/>
        <v>2.0239750881639802</v>
      </c>
      <c r="B20" t="s">
        <v>63</v>
      </c>
      <c r="E20" s="10" t="str">
        <f t="shared" ca="1" si="0"/>
        <v>=EXP(A$10*SQRT((1-A$6)/(A$6*A$7)+(1-A$6*A19)/(A$6*A19*A$7)))</v>
      </c>
      <c r="L20">
        <v>20</v>
      </c>
      <c r="N20" s="81"/>
    </row>
    <row r="21" spans="1:14" x14ac:dyDescent="0.25">
      <c r="A21" s="56">
        <f t="shared" si="1"/>
        <v>2.0239750582642997</v>
      </c>
      <c r="B21" t="s">
        <v>64</v>
      </c>
      <c r="E21" s="10" t="str">
        <f t="shared" ca="1" si="0"/>
        <v>=EXP(A$10*SQRT((1-A$6)/(A$6*A$7)+(1-A$6*A20)/(A$6*A20*A$7)))</v>
      </c>
      <c r="N21" s="81"/>
    </row>
    <row r="23" spans="1:14" x14ac:dyDescent="0.25">
      <c r="A23" t="s">
        <v>139</v>
      </c>
    </row>
    <row r="24" spans="1:14" x14ac:dyDescent="0.25">
      <c r="B24" s="78" t="s">
        <v>144</v>
      </c>
    </row>
    <row r="25" spans="1:14" x14ac:dyDescent="0.25">
      <c r="A25" t="s">
        <v>140</v>
      </c>
    </row>
    <row r="26" spans="1:14" x14ac:dyDescent="0.25">
      <c r="B26" s="78" t="s">
        <v>141</v>
      </c>
    </row>
  </sheetData>
  <hyperlinks>
    <hyperlink ref="B24" r:id="rId1"/>
    <hyperlink ref="B26" r:id="rId2"/>
  </hyperlinks>
  <pageMargins left="0.7" right="0.7" top="0.75" bottom="0.75" header="0.3" footer="0.3"/>
  <pageSetup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topLeftCell="D1" workbookViewId="0">
      <selection activeCell="L50" sqref="L50"/>
    </sheetView>
  </sheetViews>
  <sheetFormatPr defaultRowHeight="15" x14ac:dyDescent="0.25"/>
  <cols>
    <col min="1" max="10" width="7.7109375" style="10" customWidth="1"/>
    <col min="11" max="11" width="5.140625" style="10" customWidth="1"/>
    <col min="12" max="22" width="7.7109375" style="10" customWidth="1"/>
    <col min="23" max="35" width="7.7109375" style="10" hidden="1" customWidth="1"/>
    <col min="36" max="47" width="7.7109375" style="10" customWidth="1"/>
    <col min="48" max="16384" width="9.140625" style="10"/>
  </cols>
  <sheetData>
    <row r="1" spans="1:34" x14ac:dyDescent="0.25">
      <c r="B1" s="10" t="s">
        <v>82</v>
      </c>
      <c r="K1" s="5" t="s">
        <v>145</v>
      </c>
      <c r="N1" s="10" t="str">
        <f>B1</f>
        <v>Smallest Relative Risk that is Statistically Significant given P1 and N1</v>
      </c>
      <c r="W1" s="5" t="str">
        <f>K1</f>
        <v>V0b</v>
      </c>
      <c r="Y1" s="10" t="s">
        <v>91</v>
      </c>
    </row>
    <row r="2" spans="1:34" ht="15.75" thickBot="1" x14ac:dyDescent="0.3">
      <c r="B2" s="10" t="s">
        <v>73</v>
      </c>
      <c r="E2" s="10" t="s">
        <v>74</v>
      </c>
      <c r="I2" s="10" t="s">
        <v>107</v>
      </c>
      <c r="K2" s="5" t="s">
        <v>42</v>
      </c>
      <c r="N2" s="10" t="s">
        <v>68</v>
      </c>
      <c r="P2" s="18">
        <f>G5</f>
        <v>3.4499159006705109</v>
      </c>
      <c r="Q2" s="10" t="s">
        <v>41</v>
      </c>
      <c r="R2" s="18">
        <f>G24</f>
        <v>2.7018596232256766</v>
      </c>
      <c r="S2" s="10" t="s">
        <v>3</v>
      </c>
      <c r="T2" s="18">
        <f>G43</f>
        <v>2.7856682751392432</v>
      </c>
      <c r="U2" s="10" t="s">
        <v>35</v>
      </c>
      <c r="W2" s="5" t="str">
        <f>K2</f>
        <v>Row</v>
      </c>
    </row>
    <row r="3" spans="1:34" ht="16.5" thickTop="1" thickBot="1" x14ac:dyDescent="0.3">
      <c r="A3" s="62">
        <v>0.95</v>
      </c>
      <c r="B3" s="10" t="s">
        <v>72</v>
      </c>
      <c r="E3" s="60" t="str">
        <f>"N*P1 ≥ "</f>
        <v xml:space="preserve">N*P1 ≥ </v>
      </c>
      <c r="F3" s="58">
        <v>5</v>
      </c>
      <c r="I3" s="22">
        <f>-_xlfn.NORM.S.INV((1-A3)/2)</f>
        <v>1.9599639845400536</v>
      </c>
      <c r="J3" s="18" t="s">
        <v>71</v>
      </c>
      <c r="K3" s="10">
        <v>3</v>
      </c>
      <c r="P3" s="18">
        <f>G62</f>
        <v>2.7740378665393228</v>
      </c>
      <c r="Q3" s="10" t="s">
        <v>75</v>
      </c>
      <c r="R3" s="18">
        <f>G81</f>
        <v>2.7756098017768753</v>
      </c>
      <c r="S3" s="10" t="s">
        <v>76</v>
      </c>
      <c r="U3" s="10" t="s">
        <v>107</v>
      </c>
      <c r="W3" s="10">
        <f>K3</f>
        <v>3</v>
      </c>
      <c r="Y3" s="10" t="s">
        <v>147</v>
      </c>
      <c r="AG3" s="10">
        <v>1.645</v>
      </c>
      <c r="AH3" s="31" t="s">
        <v>2</v>
      </c>
    </row>
    <row r="4" spans="1:34" ht="15.75" thickTop="1" x14ac:dyDescent="0.25">
      <c r="A4" s="33" t="s">
        <v>43</v>
      </c>
      <c r="B4" s="33" t="s">
        <v>44</v>
      </c>
      <c r="C4" s="33" t="s">
        <v>45</v>
      </c>
      <c r="D4" s="33" t="s">
        <v>46</v>
      </c>
      <c r="E4" s="33" t="s">
        <v>47</v>
      </c>
      <c r="F4" s="33" t="s">
        <v>48</v>
      </c>
      <c r="G4" s="33" t="s">
        <v>49</v>
      </c>
      <c r="H4" s="33" t="s">
        <v>50</v>
      </c>
      <c r="I4" s="33" t="s">
        <v>51</v>
      </c>
      <c r="J4" s="33" t="s">
        <v>52</v>
      </c>
      <c r="K4" s="5">
        <f t="shared" ref="K4:K6" si="0">K3+1</f>
        <v>4</v>
      </c>
      <c r="M4" s="33" t="s">
        <v>83</v>
      </c>
      <c r="N4" s="33" t="s">
        <v>6</v>
      </c>
      <c r="O4" s="33" t="s">
        <v>84</v>
      </c>
      <c r="P4" s="33" t="s">
        <v>85</v>
      </c>
      <c r="Q4" s="33" t="s">
        <v>86</v>
      </c>
      <c r="R4" s="33" t="s">
        <v>0</v>
      </c>
      <c r="S4" s="33" t="s">
        <v>87</v>
      </c>
      <c r="T4" s="33" t="s">
        <v>1</v>
      </c>
      <c r="U4" s="33" t="s">
        <v>88</v>
      </c>
      <c r="V4" s="33" t="s">
        <v>89</v>
      </c>
      <c r="W4" s="10">
        <f t="shared" ref="W4:W25" si="1">K4</f>
        <v>4</v>
      </c>
      <c r="Y4" s="80" t="s">
        <v>92</v>
      </c>
      <c r="Z4" s="82">
        <v>1</v>
      </c>
      <c r="AA4" s="82">
        <v>2</v>
      </c>
      <c r="AB4" s="82">
        <v>3</v>
      </c>
      <c r="AC4" s="83">
        <v>5</v>
      </c>
      <c r="AD4" s="83">
        <v>10</v>
      </c>
      <c r="AE4" s="83">
        <v>15</v>
      </c>
      <c r="AF4" s="83">
        <v>25</v>
      </c>
      <c r="AG4" s="83">
        <v>30</v>
      </c>
      <c r="AH4" s="84">
        <v>50</v>
      </c>
    </row>
    <row r="5" spans="1:34" ht="15.75" thickBot="1" x14ac:dyDescent="0.3">
      <c r="A5" s="10" t="s">
        <v>70</v>
      </c>
      <c r="E5" s="54" t="str">
        <f>E3</f>
        <v xml:space="preserve">N*P1 ≥ </v>
      </c>
      <c r="F5" s="59">
        <f>F3</f>
        <v>5</v>
      </c>
      <c r="G5" s="18">
        <f>MAX(B7:J21)</f>
        <v>3.4499159006705109</v>
      </c>
      <c r="H5" s="10" t="s">
        <v>90</v>
      </c>
      <c r="J5" s="5" t="str">
        <f>K1</f>
        <v>V0b</v>
      </c>
      <c r="K5" s="5">
        <f t="shared" si="0"/>
        <v>5</v>
      </c>
      <c r="M5" s="10" t="s">
        <v>81</v>
      </c>
      <c r="Q5" s="10" t="str">
        <f>E3</f>
        <v xml:space="preserve">N*P1 ≥ </v>
      </c>
      <c r="R5" s="59">
        <f>F3</f>
        <v>5</v>
      </c>
      <c r="S5" s="54">
        <f>MAX(N7:V21)</f>
        <v>2.7753965721908398</v>
      </c>
      <c r="T5" s="10" t="str">
        <f>H5</f>
        <v>Max Min RRss</v>
      </c>
      <c r="V5" s="5" t="str">
        <f>W1</f>
        <v>V0b</v>
      </c>
      <c r="W5" s="10">
        <f t="shared" si="1"/>
        <v>5</v>
      </c>
      <c r="Y5" s="79" t="s">
        <v>39</v>
      </c>
      <c r="Z5" s="85">
        <v>5.84</v>
      </c>
      <c r="AA5" s="85">
        <v>3.69</v>
      </c>
      <c r="AB5" s="85">
        <v>2.93</v>
      </c>
      <c r="AC5" s="86">
        <v>2.4</v>
      </c>
      <c r="AD5" s="86">
        <v>1.9</v>
      </c>
      <c r="AE5" s="86">
        <v>1.68</v>
      </c>
      <c r="AF5" s="86">
        <v>1.52</v>
      </c>
      <c r="AG5" s="86">
        <v>1.45</v>
      </c>
      <c r="AH5" s="87">
        <v>1.36</v>
      </c>
    </row>
    <row r="6" spans="1:34" x14ac:dyDescent="0.25">
      <c r="A6" s="1" t="s">
        <v>34</v>
      </c>
      <c r="B6" s="1">
        <v>1E-3</v>
      </c>
      <c r="C6" s="1">
        <v>2E-3</v>
      </c>
      <c r="D6" s="1">
        <v>5.0000000000000001E-3</v>
      </c>
      <c r="E6" s="1">
        <v>0.01</v>
      </c>
      <c r="F6" s="1">
        <v>0.02</v>
      </c>
      <c r="G6" s="1">
        <v>0.05</v>
      </c>
      <c r="H6" s="1">
        <v>0.1</v>
      </c>
      <c r="I6" s="1">
        <v>0.2</v>
      </c>
      <c r="J6" s="1">
        <v>0.5</v>
      </c>
      <c r="K6" s="5">
        <f t="shared" si="0"/>
        <v>6</v>
      </c>
      <c r="M6" s="10" t="str">
        <f>A6</f>
        <v>N \ P1</v>
      </c>
      <c r="N6" s="1">
        <f t="shared" ref="N6:V6" si="2">B6</f>
        <v>1E-3</v>
      </c>
      <c r="O6" s="1">
        <f t="shared" si="2"/>
        <v>2E-3</v>
      </c>
      <c r="P6" s="1">
        <f t="shared" si="2"/>
        <v>5.0000000000000001E-3</v>
      </c>
      <c r="Q6" s="1">
        <f t="shared" si="2"/>
        <v>0.01</v>
      </c>
      <c r="R6" s="1">
        <f t="shared" si="2"/>
        <v>0.02</v>
      </c>
      <c r="S6" s="1">
        <f t="shared" si="2"/>
        <v>0.05</v>
      </c>
      <c r="T6" s="1">
        <f t="shared" si="2"/>
        <v>0.1</v>
      </c>
      <c r="U6" s="1">
        <f t="shared" si="2"/>
        <v>0.2</v>
      </c>
      <c r="V6" s="1">
        <f t="shared" si="2"/>
        <v>0.5</v>
      </c>
      <c r="W6" s="10">
        <f t="shared" si="1"/>
        <v>6</v>
      </c>
      <c r="AB6" s="22"/>
      <c r="AC6" s="22"/>
      <c r="AD6" s="18"/>
    </row>
    <row r="7" spans="1:34" ht="15.75" thickBot="1" x14ac:dyDescent="0.3">
      <c r="A7" s="23">
        <v>16</v>
      </c>
      <c r="B7" s="68" t="str">
        <f t="shared" ref="B7:J21" si="3">IF(B$6*$A7&lt;$F$3,"", EXP($I$3*SQRT(2*(1-B$6)/(B$6*$A7))))</f>
        <v/>
      </c>
      <c r="C7" s="46" t="str">
        <f t="shared" si="3"/>
        <v/>
      </c>
      <c r="D7" s="46" t="str">
        <f t="shared" si="3"/>
        <v/>
      </c>
      <c r="E7" s="46" t="str">
        <f t="shared" si="3"/>
        <v/>
      </c>
      <c r="F7" s="46" t="str">
        <f t="shared" si="3"/>
        <v/>
      </c>
      <c r="G7" s="46" t="str">
        <f t="shared" si="3"/>
        <v/>
      </c>
      <c r="H7" s="46" t="str">
        <f t="shared" si="3"/>
        <v/>
      </c>
      <c r="I7" s="46" t="str">
        <f t="shared" si="3"/>
        <v/>
      </c>
      <c r="J7" s="47">
        <f t="shared" si="3"/>
        <v>1.9996095013570474</v>
      </c>
      <c r="K7" s="5">
        <f>K6+1</f>
        <v>7</v>
      </c>
      <c r="M7" s="66">
        <f t="shared" ref="M7:M21" si="4">A7</f>
        <v>16</v>
      </c>
      <c r="N7" s="34" t="str">
        <f>IF(B7="", "", EXP($I$3*SQRT((1-N$6)/(N$6*$M7)+(1-N$6*B83)/(N$6*B83*$M7))))</f>
        <v/>
      </c>
      <c r="O7" s="35" t="str">
        <f t="shared" ref="O7:V7" si="5">IF(C7="", "", EXP($I$3*SQRT((1-O$6)/(O$6*$M7)+(1-O$6*C83)/(O$6*C83*$M7))))</f>
        <v/>
      </c>
      <c r="P7" s="35" t="str">
        <f t="shared" si="5"/>
        <v/>
      </c>
      <c r="Q7" s="35" t="str">
        <f t="shared" si="5"/>
        <v/>
      </c>
      <c r="R7" s="35" t="str">
        <f t="shared" si="5"/>
        <v/>
      </c>
      <c r="S7" s="35" t="str">
        <f t="shared" si="5"/>
        <v/>
      </c>
      <c r="T7" s="35" t="str">
        <f t="shared" si="5"/>
        <v/>
      </c>
      <c r="U7" s="35" t="str">
        <f t="shared" si="5"/>
        <v/>
      </c>
      <c r="V7" s="36">
        <f t="shared" si="5"/>
        <v>1.7007784801586265</v>
      </c>
      <c r="W7" s="10">
        <f t="shared" si="1"/>
        <v>7</v>
      </c>
      <c r="Y7" s="10" t="s">
        <v>147</v>
      </c>
      <c r="AG7" s="10">
        <v>1.96</v>
      </c>
      <c r="AH7" s="31" t="s">
        <v>2</v>
      </c>
    </row>
    <row r="8" spans="1:34" x14ac:dyDescent="0.25">
      <c r="A8" s="23">
        <v>36</v>
      </c>
      <c r="B8" s="48" t="str">
        <f t="shared" si="3"/>
        <v/>
      </c>
      <c r="C8" s="49" t="str">
        <f t="shared" si="3"/>
        <v/>
      </c>
      <c r="D8" s="49" t="str">
        <f t="shared" si="3"/>
        <v/>
      </c>
      <c r="E8" s="49" t="str">
        <f t="shared" si="3"/>
        <v/>
      </c>
      <c r="F8" s="49" t="str">
        <f t="shared" si="3"/>
        <v/>
      </c>
      <c r="G8" s="49" t="str">
        <f t="shared" si="3"/>
        <v/>
      </c>
      <c r="H8" s="49" t="str">
        <f t="shared" si="3"/>
        <v/>
      </c>
      <c r="I8" s="49">
        <f t="shared" si="3"/>
        <v>2.5191861245242064</v>
      </c>
      <c r="J8" s="50">
        <f t="shared" si="3"/>
        <v>1.5871944192581469</v>
      </c>
      <c r="K8" s="5">
        <f t="shared" ref="K8:K62" si="6">K7+1</f>
        <v>8</v>
      </c>
      <c r="M8" s="66">
        <f t="shared" si="4"/>
        <v>36</v>
      </c>
      <c r="N8" s="37" t="str">
        <f t="shared" ref="N8:N21" si="7">IF(B8="", "", EXP($I$3*SQRT((1-N$6)/(N$6*$M8)+(1-N$6*B84)/(N$6*B84*$M8))))</f>
        <v/>
      </c>
      <c r="O8" s="38" t="str">
        <f t="shared" ref="O8:O21" si="8">IF(C8="", "", EXP($I$3*SQRT((1-O$6)/(O$6*$M8)+(1-O$6*C84)/(O$6*C84*$M8))))</f>
        <v/>
      </c>
      <c r="P8" s="38" t="str">
        <f t="shared" ref="P8:P21" si="9">IF(D8="", "", EXP($I$3*SQRT((1-P$6)/(P$6*$M8)+(1-P$6*D84)/(P$6*D84*$M8))))</f>
        <v/>
      </c>
      <c r="Q8" s="38" t="str">
        <f t="shared" ref="Q8:Q21" si="10">IF(E8="", "", EXP($I$3*SQRT((1-Q$6)/(Q$6*$M8)+(1-Q$6*E84)/(Q$6*E84*$M8))))</f>
        <v/>
      </c>
      <c r="R8" s="38" t="str">
        <f t="shared" ref="R8:R21" si="11">IF(F8="", "", EXP($I$3*SQRT((1-R$6)/(R$6*$M8)+(1-R$6*F84)/(R$6*F84*$M8))))</f>
        <v/>
      </c>
      <c r="S8" s="38" t="str">
        <f t="shared" ref="S8:S21" si="12">IF(G8="", "", EXP($I$3*SQRT((1-S$6)/(S$6*$M8)+(1-S$6*G84)/(S$6*G84*$M8))))</f>
        <v/>
      </c>
      <c r="T8" s="38" t="str">
        <f t="shared" ref="T8:T21" si="13">IF(H8="", "", EXP($I$3*SQRT((1-T$6)/(T$6*$M8)+(1-T$6*H84)/(T$6*H84*$M8))))</f>
        <v/>
      </c>
      <c r="U8" s="38">
        <f t="shared" ref="U8:U21" si="14">IF(I8="", "", EXP($I$3*SQRT((1-U$6)/(U$6*$M8)+(1-U$6*I84)/(U$6*I84*$M8))))</f>
        <v>2.1286131394636429</v>
      </c>
      <c r="V8" s="39">
        <f t="shared" ref="V8:V21" si="15">IF(J8="", "", EXP($I$3*SQRT((1-V$6)/(V$6*$M8)+(1-V$6*J84)/(V$6*J84*$M8))))</f>
        <v>1.4647482630692086</v>
      </c>
      <c r="W8" s="10">
        <f t="shared" si="1"/>
        <v>8</v>
      </c>
      <c r="Y8" s="80" t="s">
        <v>92</v>
      </c>
      <c r="Z8" s="82">
        <v>1</v>
      </c>
      <c r="AA8" s="82">
        <v>2</v>
      </c>
      <c r="AB8" s="82">
        <v>3</v>
      </c>
      <c r="AC8" s="83">
        <v>5</v>
      </c>
      <c r="AD8" s="83">
        <v>10</v>
      </c>
      <c r="AE8" s="83">
        <v>15</v>
      </c>
      <c r="AF8" s="83">
        <v>25</v>
      </c>
      <c r="AG8" s="83">
        <v>30</v>
      </c>
      <c r="AH8" s="84">
        <v>50</v>
      </c>
    </row>
    <row r="9" spans="1:34" ht="15.75" thickBot="1" x14ac:dyDescent="0.3">
      <c r="A9" s="23">
        <v>64</v>
      </c>
      <c r="B9" s="48" t="str">
        <f t="shared" si="3"/>
        <v/>
      </c>
      <c r="C9" s="49" t="str">
        <f t="shared" si="3"/>
        <v/>
      </c>
      <c r="D9" s="49" t="str">
        <f t="shared" si="3"/>
        <v/>
      </c>
      <c r="E9" s="49" t="str">
        <f t="shared" si="3"/>
        <v/>
      </c>
      <c r="F9" s="49" t="str">
        <f t="shared" si="3"/>
        <v/>
      </c>
      <c r="G9" s="49" t="str">
        <f t="shared" si="3"/>
        <v/>
      </c>
      <c r="H9" s="49">
        <f t="shared" si="3"/>
        <v>2.8275987924668806</v>
      </c>
      <c r="I9" s="49">
        <f t="shared" si="3"/>
        <v>1.9996095013570474</v>
      </c>
      <c r="J9" s="50">
        <f t="shared" si="3"/>
        <v>1.4140754935140654</v>
      </c>
      <c r="K9" s="5">
        <f t="shared" si="6"/>
        <v>9</v>
      </c>
      <c r="M9" s="66">
        <f t="shared" si="4"/>
        <v>64</v>
      </c>
      <c r="N9" s="37" t="str">
        <f t="shared" si="7"/>
        <v/>
      </c>
      <c r="O9" s="38" t="str">
        <f t="shared" si="8"/>
        <v/>
      </c>
      <c r="P9" s="38" t="str">
        <f t="shared" si="9"/>
        <v/>
      </c>
      <c r="Q9" s="38" t="str">
        <f t="shared" si="10"/>
        <v/>
      </c>
      <c r="R9" s="38" t="str">
        <f t="shared" si="11"/>
        <v/>
      </c>
      <c r="S9" s="38" t="str">
        <f t="shared" si="12"/>
        <v/>
      </c>
      <c r="T9" s="38">
        <f t="shared" si="13"/>
        <v>2.3566393851600953</v>
      </c>
      <c r="U9" s="38">
        <f t="shared" si="14"/>
        <v>1.8017396687166829</v>
      </c>
      <c r="V9" s="39">
        <f t="shared" si="15"/>
        <v>1.3477585108841024</v>
      </c>
      <c r="W9" s="10">
        <f t="shared" si="1"/>
        <v>9</v>
      </c>
      <c r="Y9" s="79" t="s">
        <v>39</v>
      </c>
      <c r="Z9" s="85">
        <v>7.86</v>
      </c>
      <c r="AA9" s="85">
        <v>4.59</v>
      </c>
      <c r="AB9" s="85">
        <v>3.5</v>
      </c>
      <c r="AC9" s="86">
        <v>2.78</v>
      </c>
      <c r="AD9" s="86">
        <v>2.12</v>
      </c>
      <c r="AE9" s="86">
        <v>1.83</v>
      </c>
      <c r="AF9" s="86">
        <v>1.64</v>
      </c>
      <c r="AG9" s="86">
        <v>1.55</v>
      </c>
      <c r="AH9" s="87">
        <v>1.43</v>
      </c>
    </row>
    <row r="10" spans="1:34" x14ac:dyDescent="0.25">
      <c r="A10" s="23">
        <v>100</v>
      </c>
      <c r="B10" s="48" t="str">
        <f t="shared" si="3"/>
        <v/>
      </c>
      <c r="C10" s="49" t="str">
        <f t="shared" si="3"/>
        <v/>
      </c>
      <c r="D10" s="49" t="str">
        <f t="shared" si="3"/>
        <v/>
      </c>
      <c r="E10" s="49" t="str">
        <f t="shared" si="3"/>
        <v/>
      </c>
      <c r="F10" s="49" t="str">
        <f t="shared" si="3"/>
        <v/>
      </c>
      <c r="G10" s="49">
        <f t="shared" si="3"/>
        <v>3.347463661672649</v>
      </c>
      <c r="H10" s="49">
        <f t="shared" si="3"/>
        <v>2.2968584423259162</v>
      </c>
      <c r="I10" s="49">
        <f t="shared" si="3"/>
        <v>1.7408291622309804</v>
      </c>
      <c r="J10" s="50">
        <f t="shared" si="3"/>
        <v>1.3194048515262404</v>
      </c>
      <c r="K10" s="5">
        <f t="shared" si="6"/>
        <v>10</v>
      </c>
      <c r="M10" s="66">
        <f t="shared" si="4"/>
        <v>100</v>
      </c>
      <c r="N10" s="37" t="str">
        <f t="shared" si="7"/>
        <v/>
      </c>
      <c r="O10" s="38" t="str">
        <f t="shared" si="8"/>
        <v/>
      </c>
      <c r="P10" s="38" t="str">
        <f t="shared" si="9"/>
        <v/>
      </c>
      <c r="Q10" s="38" t="str">
        <f t="shared" si="10"/>
        <v/>
      </c>
      <c r="R10" s="38" t="str">
        <f t="shared" si="11"/>
        <v/>
      </c>
      <c r="S10" s="38">
        <f t="shared" si="12"/>
        <v>2.6874491540895589</v>
      </c>
      <c r="T10" s="38">
        <f t="shared" si="13"/>
        <v>2.0239642543245737</v>
      </c>
      <c r="U10" s="38">
        <f t="shared" si="14"/>
        <v>1.6215997232830548</v>
      </c>
      <c r="V10" s="39">
        <f t="shared" si="15"/>
        <v>1.277874530527102</v>
      </c>
      <c r="W10" s="10">
        <f t="shared" si="1"/>
        <v>10</v>
      </c>
      <c r="AB10" s="22"/>
      <c r="AC10" s="22"/>
      <c r="AD10" s="18"/>
    </row>
    <row r="11" spans="1:34" x14ac:dyDescent="0.25">
      <c r="A11" s="23">
        <v>144</v>
      </c>
      <c r="B11" s="48" t="str">
        <f t="shared" si="3"/>
        <v/>
      </c>
      <c r="C11" s="49" t="str">
        <f t="shared" si="3"/>
        <v/>
      </c>
      <c r="D11" s="49" t="str">
        <f t="shared" si="3"/>
        <v/>
      </c>
      <c r="E11" s="49" t="str">
        <f t="shared" si="3"/>
        <v/>
      </c>
      <c r="F11" s="49" t="str">
        <f t="shared" si="3"/>
        <v/>
      </c>
      <c r="G11" s="49">
        <f t="shared" si="3"/>
        <v>2.7369270760951339</v>
      </c>
      <c r="H11" s="49">
        <f t="shared" si="3"/>
        <v>1.9996095013570474</v>
      </c>
      <c r="I11" s="49">
        <f t="shared" si="3"/>
        <v>1.5871944192581469</v>
      </c>
      <c r="J11" s="50">
        <f t="shared" si="3"/>
        <v>1.259839044980805</v>
      </c>
      <c r="K11" s="5">
        <f t="shared" si="6"/>
        <v>11</v>
      </c>
      <c r="M11" s="66">
        <f t="shared" si="4"/>
        <v>144</v>
      </c>
      <c r="N11" s="37" t="str">
        <f t="shared" si="7"/>
        <v/>
      </c>
      <c r="O11" s="38" t="str">
        <f t="shared" si="8"/>
        <v/>
      </c>
      <c r="P11" s="38" t="str">
        <f t="shared" si="9"/>
        <v/>
      </c>
      <c r="Q11" s="38" t="str">
        <f t="shared" si="10"/>
        <v/>
      </c>
      <c r="R11" s="38" t="str">
        <f t="shared" si="11"/>
        <v/>
      </c>
      <c r="S11" s="38">
        <f t="shared" si="12"/>
        <v>2.3223108308773823</v>
      </c>
      <c r="T11" s="38">
        <f t="shared" si="13"/>
        <v>1.821870411154823</v>
      </c>
      <c r="U11" s="38">
        <f t="shared" si="14"/>
        <v>1.5075639899267923</v>
      </c>
      <c r="V11" s="39">
        <f t="shared" si="15"/>
        <v>1.2314008537983794</v>
      </c>
      <c r="W11" s="10">
        <f t="shared" si="1"/>
        <v>11</v>
      </c>
      <c r="AB11" s="22"/>
      <c r="AC11" s="22"/>
      <c r="AD11" s="18"/>
    </row>
    <row r="12" spans="1:34" x14ac:dyDescent="0.25">
      <c r="A12" s="23">
        <v>196</v>
      </c>
      <c r="B12" s="48" t="str">
        <f t="shared" si="3"/>
        <v/>
      </c>
      <c r="C12" s="49" t="str">
        <f t="shared" si="3"/>
        <v/>
      </c>
      <c r="D12" s="49" t="str">
        <f t="shared" si="3"/>
        <v/>
      </c>
      <c r="E12" s="49" t="str">
        <f t="shared" si="3"/>
        <v/>
      </c>
      <c r="F12" s="49" t="str">
        <f t="shared" si="3"/>
        <v/>
      </c>
      <c r="G12" s="49">
        <f t="shared" si="3"/>
        <v>2.3702658035575146</v>
      </c>
      <c r="H12" s="49">
        <f t="shared" si="3"/>
        <v>1.8111441667037318</v>
      </c>
      <c r="I12" s="49">
        <f t="shared" si="3"/>
        <v>1.4858284882701012</v>
      </c>
      <c r="J12" s="50">
        <f t="shared" si="3"/>
        <v>1.218945646150845</v>
      </c>
      <c r="K12" s="5">
        <f t="shared" si="6"/>
        <v>12</v>
      </c>
      <c r="M12" s="66">
        <f t="shared" si="4"/>
        <v>196</v>
      </c>
      <c r="N12" s="37" t="str">
        <f t="shared" si="7"/>
        <v/>
      </c>
      <c r="O12" s="38" t="str">
        <f t="shared" si="8"/>
        <v/>
      </c>
      <c r="P12" s="38" t="str">
        <f t="shared" si="9"/>
        <v/>
      </c>
      <c r="Q12" s="38" t="str">
        <f t="shared" si="10"/>
        <v/>
      </c>
      <c r="R12" s="38" t="str">
        <f t="shared" si="11"/>
        <v/>
      </c>
      <c r="S12" s="38">
        <f t="shared" si="12"/>
        <v>2.0861290095186296</v>
      </c>
      <c r="T12" s="38">
        <f t="shared" si="13"/>
        <v>1.6862632687346135</v>
      </c>
      <c r="U12" s="38">
        <f t="shared" si="14"/>
        <v>1.4288966707605186</v>
      </c>
      <c r="V12" s="39">
        <f t="shared" si="15"/>
        <v>1.1982561109511343</v>
      </c>
      <c r="W12" s="10">
        <f t="shared" si="1"/>
        <v>12</v>
      </c>
      <c r="AB12" s="22"/>
      <c r="AC12" s="22"/>
      <c r="AD12" s="18"/>
    </row>
    <row r="13" spans="1:34" x14ac:dyDescent="0.25">
      <c r="A13" s="23">
        <v>256</v>
      </c>
      <c r="B13" s="48" t="str">
        <f t="shared" si="3"/>
        <v/>
      </c>
      <c r="C13" s="49" t="str">
        <f t="shared" si="3"/>
        <v/>
      </c>
      <c r="D13" s="49" t="str">
        <f t="shared" si="3"/>
        <v/>
      </c>
      <c r="E13" s="49" t="str">
        <f t="shared" si="3"/>
        <v/>
      </c>
      <c r="F13" s="49">
        <f t="shared" si="3"/>
        <v>3.3624364539840279</v>
      </c>
      <c r="G13" s="49">
        <f t="shared" si="3"/>
        <v>2.127881405601229</v>
      </c>
      <c r="H13" s="49">
        <f t="shared" si="3"/>
        <v>1.6815465478145053</v>
      </c>
      <c r="I13" s="49">
        <f t="shared" si="3"/>
        <v>1.4140754935140654</v>
      </c>
      <c r="J13" s="50">
        <f t="shared" si="3"/>
        <v>1.1891490627814771</v>
      </c>
      <c r="K13" s="5">
        <f t="shared" si="6"/>
        <v>13</v>
      </c>
      <c r="M13" s="66">
        <f t="shared" si="4"/>
        <v>256</v>
      </c>
      <c r="N13" s="37" t="str">
        <f t="shared" si="7"/>
        <v/>
      </c>
      <c r="O13" s="38" t="str">
        <f t="shared" si="8"/>
        <v/>
      </c>
      <c r="P13" s="38" t="str">
        <f t="shared" si="9"/>
        <v/>
      </c>
      <c r="Q13" s="38" t="str">
        <f t="shared" si="10"/>
        <v/>
      </c>
      <c r="R13" s="38">
        <f t="shared" si="11"/>
        <v>2.7138220339844525</v>
      </c>
      <c r="S13" s="38">
        <f t="shared" si="12"/>
        <v>1.9211567484050913</v>
      </c>
      <c r="T13" s="38">
        <f t="shared" si="13"/>
        <v>1.5890213022940203</v>
      </c>
      <c r="U13" s="38">
        <f t="shared" si="14"/>
        <v>1.3713530129339062</v>
      </c>
      <c r="V13" s="39">
        <f t="shared" si="15"/>
        <v>1.173422599726097</v>
      </c>
      <c r="W13" s="10">
        <f t="shared" si="1"/>
        <v>13</v>
      </c>
      <c r="AB13" s="22"/>
      <c r="AC13" s="22"/>
      <c r="AD13" s="18"/>
    </row>
    <row r="14" spans="1:34" x14ac:dyDescent="0.25">
      <c r="A14" s="23">
        <v>324</v>
      </c>
      <c r="B14" s="48" t="str">
        <f t="shared" si="3"/>
        <v/>
      </c>
      <c r="C14" s="49" t="str">
        <f t="shared" si="3"/>
        <v/>
      </c>
      <c r="D14" s="49" t="str">
        <f t="shared" si="3"/>
        <v/>
      </c>
      <c r="E14" s="49" t="str">
        <f t="shared" si="3"/>
        <v/>
      </c>
      <c r="F14" s="49">
        <f t="shared" si="3"/>
        <v>2.9385762540237019</v>
      </c>
      <c r="G14" s="49">
        <f t="shared" si="3"/>
        <v>1.9566304924216009</v>
      </c>
      <c r="H14" s="49">
        <f t="shared" si="3"/>
        <v>1.5871944192581469</v>
      </c>
      <c r="I14" s="49">
        <f t="shared" si="3"/>
        <v>1.3606719078473604</v>
      </c>
      <c r="J14" s="50">
        <f t="shared" si="3"/>
        <v>1.1664784215095281</v>
      </c>
      <c r="K14" s="5">
        <f t="shared" si="6"/>
        <v>14</v>
      </c>
      <c r="M14" s="66">
        <f t="shared" si="4"/>
        <v>324</v>
      </c>
      <c r="N14" s="37" t="str">
        <f t="shared" si="7"/>
        <v/>
      </c>
      <c r="O14" s="38" t="str">
        <f t="shared" si="8"/>
        <v/>
      </c>
      <c r="P14" s="38" t="str">
        <f t="shared" si="9"/>
        <v/>
      </c>
      <c r="Q14" s="38" t="str">
        <f t="shared" si="10"/>
        <v/>
      </c>
      <c r="R14" s="38">
        <f t="shared" si="11"/>
        <v>2.4597382064363642</v>
      </c>
      <c r="S14" s="38">
        <f t="shared" si="12"/>
        <v>1.7995271620687636</v>
      </c>
      <c r="T14" s="38">
        <f t="shared" si="13"/>
        <v>1.5159001308156275</v>
      </c>
      <c r="U14" s="38">
        <f t="shared" si="14"/>
        <v>1.3274310654390042</v>
      </c>
      <c r="V14" s="39">
        <f t="shared" si="15"/>
        <v>1.1541211529291009</v>
      </c>
      <c r="W14" s="10">
        <f t="shared" si="1"/>
        <v>14</v>
      </c>
      <c r="AB14" s="22"/>
      <c r="AC14" s="22"/>
      <c r="AD14" s="18"/>
    </row>
    <row r="15" spans="1:34" x14ac:dyDescent="0.25">
      <c r="A15" s="23">
        <v>400</v>
      </c>
      <c r="B15" s="48" t="str">
        <f t="shared" si="3"/>
        <v/>
      </c>
      <c r="C15" s="49" t="str">
        <f t="shared" si="3"/>
        <v/>
      </c>
      <c r="D15" s="49" t="str">
        <f t="shared" si="3"/>
        <v/>
      </c>
      <c r="E15" s="49" t="str">
        <f t="shared" si="3"/>
        <v/>
      </c>
      <c r="F15" s="49">
        <f t="shared" si="3"/>
        <v>2.6382944772484551</v>
      </c>
      <c r="G15" s="49">
        <f t="shared" si="3"/>
        <v>1.8296075157455625</v>
      </c>
      <c r="H15" s="49">
        <f t="shared" si="3"/>
        <v>1.5155389939971575</v>
      </c>
      <c r="I15" s="49">
        <f t="shared" si="3"/>
        <v>1.3194048515262404</v>
      </c>
      <c r="J15" s="50">
        <f t="shared" si="3"/>
        <v>1.1486534949784641</v>
      </c>
      <c r="K15" s="5">
        <f t="shared" si="6"/>
        <v>15</v>
      </c>
      <c r="M15" s="66">
        <f t="shared" si="4"/>
        <v>400</v>
      </c>
      <c r="N15" s="37" t="str">
        <f t="shared" si="7"/>
        <v/>
      </c>
      <c r="O15" s="38" t="str">
        <f t="shared" si="8"/>
        <v/>
      </c>
      <c r="P15" s="38" t="str">
        <f t="shared" si="9"/>
        <v/>
      </c>
      <c r="Q15" s="38" t="str">
        <f t="shared" si="10"/>
        <v/>
      </c>
      <c r="R15" s="38">
        <f t="shared" si="11"/>
        <v>2.2705650780395863</v>
      </c>
      <c r="S15" s="38">
        <f t="shared" si="12"/>
        <v>1.7061929306793169</v>
      </c>
      <c r="T15" s="38">
        <f t="shared" si="13"/>
        <v>1.4589227041337292</v>
      </c>
      <c r="U15" s="38">
        <f t="shared" si="14"/>
        <v>1.2928050494065708</v>
      </c>
      <c r="V15" s="39">
        <f t="shared" si="15"/>
        <v>1.138687797014718</v>
      </c>
      <c r="W15" s="10">
        <f t="shared" si="1"/>
        <v>15</v>
      </c>
      <c r="AB15" s="22"/>
      <c r="AC15" s="22"/>
      <c r="AD15" s="18"/>
    </row>
    <row r="16" spans="1:34" x14ac:dyDescent="0.25">
      <c r="A16" s="23">
        <v>625</v>
      </c>
      <c r="B16" s="48" t="str">
        <f t="shared" si="3"/>
        <v/>
      </c>
      <c r="C16" s="49" t="str">
        <f t="shared" si="3"/>
        <v/>
      </c>
      <c r="D16" s="49" t="str">
        <f t="shared" si="3"/>
        <v/>
      </c>
      <c r="E16" s="49">
        <f t="shared" si="3"/>
        <v>3.0136908252968668</v>
      </c>
      <c r="F16" s="49">
        <f t="shared" si="3"/>
        <v>2.172994437912716</v>
      </c>
      <c r="G16" s="49">
        <f t="shared" si="3"/>
        <v>1.6213857377306768</v>
      </c>
      <c r="H16" s="49">
        <f t="shared" si="3"/>
        <v>1.3946129447918745</v>
      </c>
      <c r="I16" s="49">
        <f t="shared" si="3"/>
        <v>1.2482525483016893</v>
      </c>
      <c r="J16" s="50">
        <f t="shared" si="3"/>
        <v>1.1172522312806941</v>
      </c>
      <c r="K16" s="5">
        <f t="shared" si="6"/>
        <v>16</v>
      </c>
      <c r="M16" s="66">
        <f t="shared" si="4"/>
        <v>625</v>
      </c>
      <c r="N16" s="37" t="str">
        <f t="shared" si="7"/>
        <v/>
      </c>
      <c r="O16" s="38" t="str">
        <f t="shared" si="8"/>
        <v/>
      </c>
      <c r="P16" s="38" t="str">
        <f t="shared" si="9"/>
        <v/>
      </c>
      <c r="Q16" s="38">
        <f t="shared" si="10"/>
        <v>2.5103363611767437</v>
      </c>
      <c r="R16" s="38">
        <f t="shared" si="11"/>
        <v>1.9586443828662883</v>
      </c>
      <c r="S16" s="38">
        <f t="shared" si="12"/>
        <v>1.5465483030476934</v>
      </c>
      <c r="T16" s="38">
        <f t="shared" si="13"/>
        <v>1.3596237853546149</v>
      </c>
      <c r="U16" s="38">
        <f t="shared" si="14"/>
        <v>1.2315912349245657</v>
      </c>
      <c r="V16" s="39">
        <f t="shared" si="15"/>
        <v>1.1109234284844116</v>
      </c>
      <c r="W16" s="10">
        <f t="shared" si="1"/>
        <v>16</v>
      </c>
    </row>
    <row r="17" spans="1:51" x14ac:dyDescent="0.25">
      <c r="A17" s="23">
        <v>900</v>
      </c>
      <c r="B17" s="48" t="str">
        <f t="shared" si="3"/>
        <v/>
      </c>
      <c r="C17" s="49" t="str">
        <f t="shared" si="3"/>
        <v/>
      </c>
      <c r="D17" s="49" t="str">
        <f t="shared" si="3"/>
        <v/>
      </c>
      <c r="E17" s="49">
        <f t="shared" si="3"/>
        <v>2.5075460263957026</v>
      </c>
      <c r="F17" s="49">
        <f t="shared" si="3"/>
        <v>1.909335198828549</v>
      </c>
      <c r="G17" s="49">
        <f t="shared" si="3"/>
        <v>1.495909397256624</v>
      </c>
      <c r="H17" s="49">
        <f t="shared" si="3"/>
        <v>1.3194048515262404</v>
      </c>
      <c r="I17" s="49">
        <f t="shared" si="3"/>
        <v>1.2029623943114482</v>
      </c>
      <c r="J17" s="50">
        <f t="shared" si="3"/>
        <v>1.0967964233673668</v>
      </c>
      <c r="K17" s="5">
        <f t="shared" si="6"/>
        <v>17</v>
      </c>
      <c r="M17" s="66">
        <f t="shared" si="4"/>
        <v>900</v>
      </c>
      <c r="N17" s="37" t="str">
        <f t="shared" si="7"/>
        <v/>
      </c>
      <c r="O17" s="38" t="str">
        <f t="shared" si="8"/>
        <v/>
      </c>
      <c r="P17" s="38" t="str">
        <f t="shared" si="9"/>
        <v/>
      </c>
      <c r="Q17" s="38">
        <f t="shared" si="10"/>
        <v>2.1883633646627811</v>
      </c>
      <c r="R17" s="38">
        <f t="shared" si="11"/>
        <v>1.769203638820374</v>
      </c>
      <c r="S17" s="38">
        <f t="shared" si="12"/>
        <v>1.4457287988851324</v>
      </c>
      <c r="T17" s="38">
        <f t="shared" si="13"/>
        <v>1.2956547730138994</v>
      </c>
      <c r="U17" s="38">
        <f t="shared" si="14"/>
        <v>1.191553899516606</v>
      </c>
      <c r="V17" s="39">
        <f t="shared" si="15"/>
        <v>1.092423673632648</v>
      </c>
      <c r="W17" s="10">
        <f t="shared" si="1"/>
        <v>17</v>
      </c>
    </row>
    <row r="18" spans="1:51" x14ac:dyDescent="0.25">
      <c r="A18" s="23">
        <v>1600</v>
      </c>
      <c r="B18" s="48" t="str">
        <f t="shared" si="3"/>
        <v/>
      </c>
      <c r="C18" s="49" t="str">
        <f t="shared" si="3"/>
        <v/>
      </c>
      <c r="D18" s="49">
        <f t="shared" si="3"/>
        <v>2.6578804109626599</v>
      </c>
      <c r="E18" s="49">
        <f t="shared" si="3"/>
        <v>1.9926759763062012</v>
      </c>
      <c r="F18" s="49">
        <f t="shared" si="3"/>
        <v>1.6242827577883276</v>
      </c>
      <c r="G18" s="49">
        <f t="shared" si="3"/>
        <v>1.352629851713159</v>
      </c>
      <c r="H18" s="49">
        <f t="shared" si="3"/>
        <v>1.2310722943828918</v>
      </c>
      <c r="I18" s="49">
        <f t="shared" si="3"/>
        <v>1.1486534949784641</v>
      </c>
      <c r="J18" s="50">
        <f t="shared" si="3"/>
        <v>1.0717525343933012</v>
      </c>
      <c r="K18" s="5">
        <f t="shared" si="6"/>
        <v>18</v>
      </c>
      <c r="M18" s="66">
        <f t="shared" si="4"/>
        <v>1600</v>
      </c>
      <c r="N18" s="37" t="str">
        <f t="shared" si="7"/>
        <v/>
      </c>
      <c r="O18" s="38" t="str">
        <f t="shared" si="8"/>
        <v/>
      </c>
      <c r="P18" s="38">
        <f t="shared" si="9"/>
        <v>2.288234056317008</v>
      </c>
      <c r="Q18" s="38">
        <f t="shared" si="10"/>
        <v>1.831757920005098</v>
      </c>
      <c r="R18" s="38">
        <f t="shared" si="11"/>
        <v>1.5510150311077477</v>
      </c>
      <c r="S18" s="38">
        <f t="shared" si="12"/>
        <v>1.3255827416990034</v>
      </c>
      <c r="T18" s="38">
        <f t="shared" si="13"/>
        <v>1.2180804614107925</v>
      </c>
      <c r="U18" s="38">
        <f t="shared" si="14"/>
        <v>1.1423462548626231</v>
      </c>
      <c r="V18" s="39">
        <f t="shared" si="15"/>
        <v>1.0693081575184298</v>
      </c>
      <c r="W18" s="10">
        <f t="shared" si="1"/>
        <v>18</v>
      </c>
    </row>
    <row r="19" spans="1:51" x14ac:dyDescent="0.25">
      <c r="A19" s="23">
        <v>2500</v>
      </c>
      <c r="B19" s="48" t="str">
        <f t="shared" si="3"/>
        <v/>
      </c>
      <c r="C19" s="49">
        <f t="shared" si="3"/>
        <v>3.4499159006705109</v>
      </c>
      <c r="D19" s="49">
        <f t="shared" si="3"/>
        <v>2.185890230532153</v>
      </c>
      <c r="E19" s="49">
        <f t="shared" si="3"/>
        <v>1.7359985095894717</v>
      </c>
      <c r="F19" s="49">
        <f t="shared" si="3"/>
        <v>1.4741080143302647</v>
      </c>
      <c r="G19" s="49">
        <f t="shared" si="3"/>
        <v>1.2733364589654523</v>
      </c>
      <c r="H19" s="49">
        <f t="shared" si="3"/>
        <v>1.1809373161992445</v>
      </c>
      <c r="I19" s="49">
        <f t="shared" si="3"/>
        <v>1.1172522312806941</v>
      </c>
      <c r="J19" s="50">
        <f t="shared" si="3"/>
        <v>1.0570015285138872</v>
      </c>
      <c r="K19" s="5">
        <f t="shared" si="6"/>
        <v>19</v>
      </c>
      <c r="M19" s="66">
        <f t="shared" si="4"/>
        <v>2500</v>
      </c>
      <c r="N19" s="37" t="str">
        <f t="shared" si="7"/>
        <v/>
      </c>
      <c r="O19" s="38">
        <f t="shared" si="8"/>
        <v>2.7753965721908398</v>
      </c>
      <c r="P19" s="38">
        <f t="shared" si="9"/>
        <v>1.9706635905957897</v>
      </c>
      <c r="Q19" s="38">
        <f t="shared" si="10"/>
        <v>1.6393252714526378</v>
      </c>
      <c r="R19" s="38">
        <f t="shared" si="11"/>
        <v>1.4291659603613951</v>
      </c>
      <c r="S19" s="38">
        <f t="shared" si="12"/>
        <v>1.256453066976613</v>
      </c>
      <c r="T19" s="38">
        <f t="shared" si="13"/>
        <v>1.1727577395613935</v>
      </c>
      <c r="U19" s="38">
        <f t="shared" si="14"/>
        <v>1.1132565673447017</v>
      </c>
      <c r="V19" s="39">
        <f t="shared" si="15"/>
        <v>1.0554428788312653</v>
      </c>
      <c r="W19" s="10">
        <f t="shared" si="1"/>
        <v>19</v>
      </c>
    </row>
    <row r="20" spans="1:51" x14ac:dyDescent="0.25">
      <c r="A20" s="23">
        <v>4900</v>
      </c>
      <c r="B20" s="48" t="str">
        <f t="shared" si="3"/>
        <v/>
      </c>
      <c r="C20" s="49">
        <f t="shared" si="3"/>
        <v>2.4218594432146228</v>
      </c>
      <c r="D20" s="49">
        <f t="shared" si="3"/>
        <v>1.7482022623002009</v>
      </c>
      <c r="E20" s="49">
        <f t="shared" si="3"/>
        <v>1.4828822854967385</v>
      </c>
      <c r="F20" s="49">
        <f t="shared" si="3"/>
        <v>1.3194048515262404</v>
      </c>
      <c r="G20" s="49">
        <f t="shared" si="3"/>
        <v>1.1883911533994906</v>
      </c>
      <c r="H20" s="49">
        <f t="shared" si="3"/>
        <v>1.1261353833520833</v>
      </c>
      <c r="I20" s="49">
        <f t="shared" si="3"/>
        <v>1.0824148358810115</v>
      </c>
      <c r="J20" s="50">
        <f t="shared" si="3"/>
        <v>1.0403916742655197</v>
      </c>
      <c r="K20" s="5">
        <f t="shared" si="6"/>
        <v>20</v>
      </c>
      <c r="M20" s="66">
        <f t="shared" si="4"/>
        <v>4900</v>
      </c>
      <c r="N20" s="37" t="str">
        <f t="shared" si="7"/>
        <v/>
      </c>
      <c r="O20" s="38">
        <f t="shared" si="8"/>
        <v>2.1334185780070913</v>
      </c>
      <c r="P20" s="38">
        <f t="shared" si="9"/>
        <v>1.6492125108281783</v>
      </c>
      <c r="Q20" s="38">
        <f t="shared" si="10"/>
        <v>1.4368842500527901</v>
      </c>
      <c r="R20" s="38">
        <f t="shared" si="11"/>
        <v>1.2975301334164593</v>
      </c>
      <c r="S20" s="38">
        <f t="shared" si="12"/>
        <v>1.1800140473256204</v>
      </c>
      <c r="T20" s="38">
        <f t="shared" si="13"/>
        <v>1.1220381969848168</v>
      </c>
      <c r="U20" s="38">
        <f t="shared" si="14"/>
        <v>1.080399518406951</v>
      </c>
      <c r="V20" s="39">
        <f t="shared" si="15"/>
        <v>1.0395997405549651</v>
      </c>
      <c r="W20" s="10">
        <f t="shared" si="1"/>
        <v>20</v>
      </c>
    </row>
    <row r="21" spans="1:51" x14ac:dyDescent="0.25">
      <c r="A21" s="23">
        <v>10000</v>
      </c>
      <c r="B21" s="51">
        <f t="shared" si="3"/>
        <v>2.4014774921990214</v>
      </c>
      <c r="C21" s="52">
        <f t="shared" si="3"/>
        <v>1.8573949231842191</v>
      </c>
      <c r="D21" s="52">
        <f t="shared" si="3"/>
        <v>1.4784756442133746</v>
      </c>
      <c r="E21" s="52">
        <f t="shared" si="3"/>
        <v>1.3175729617707976</v>
      </c>
      <c r="F21" s="52">
        <f t="shared" si="3"/>
        <v>1.2141284999250552</v>
      </c>
      <c r="G21" s="52">
        <f t="shared" si="3"/>
        <v>1.1284221102785306</v>
      </c>
      <c r="H21" s="52">
        <f t="shared" si="3"/>
        <v>1.0867093982290044</v>
      </c>
      <c r="I21" s="52">
        <f t="shared" si="3"/>
        <v>1.0570015285138872</v>
      </c>
      <c r="J21" s="53">
        <f t="shared" si="3"/>
        <v>1.0281057963623623</v>
      </c>
      <c r="K21" s="5">
        <f t="shared" si="6"/>
        <v>21</v>
      </c>
      <c r="M21" s="66">
        <f t="shared" si="4"/>
        <v>10000</v>
      </c>
      <c r="N21" s="40">
        <f t="shared" si="7"/>
        <v>2.1199335708609999</v>
      </c>
      <c r="O21" s="41">
        <f t="shared" si="8"/>
        <v>1.7327093561526266</v>
      </c>
      <c r="P21" s="41">
        <f t="shared" si="9"/>
        <v>1.4334456301369378</v>
      </c>
      <c r="Q21" s="41">
        <f t="shared" si="10"/>
        <v>1.2961411422022049</v>
      </c>
      <c r="R21" s="41">
        <f t="shared" si="11"/>
        <v>1.2037705333947442</v>
      </c>
      <c r="S21" s="41">
        <f t="shared" si="12"/>
        <v>1.1244003301861261</v>
      </c>
      <c r="T21" s="41">
        <f t="shared" si="13"/>
        <v>1.0847287875087845</v>
      </c>
      <c r="U21" s="41">
        <f t="shared" si="14"/>
        <v>1.05602237362236</v>
      </c>
      <c r="V21" s="42">
        <f t="shared" si="15"/>
        <v>1.0277189398782178</v>
      </c>
      <c r="W21" s="10">
        <f t="shared" si="1"/>
        <v>21</v>
      </c>
    </row>
    <row r="22" spans="1:51" x14ac:dyDescent="0.25">
      <c r="A22" s="23"/>
      <c r="B22" s="54" t="str">
        <f>CHAR(COLUMN(B7)+64)&amp;ROW(B7)&amp;" "</f>
        <v xml:space="preserve">B7 </v>
      </c>
      <c r="C22" s="10" t="str">
        <f ca="1">_xlfn.FORMULATEXT(B7)</f>
        <v>=IF(B$6*$A7&lt;$F$3,"", EXP($I$3*SQRT(2*(1-B$6)/(B$6*$A7))))</v>
      </c>
      <c r="D22" s="61"/>
      <c r="E22" s="61"/>
      <c r="F22" s="61"/>
      <c r="G22" s="61"/>
      <c r="H22" s="61"/>
      <c r="I22" s="61"/>
      <c r="J22" s="61"/>
      <c r="K22" s="5">
        <f t="shared" si="6"/>
        <v>22</v>
      </c>
      <c r="M22" s="54" t="str">
        <f>CHAR(COLUMN(N7)+64)&amp;ROW(N7)&amp;" "</f>
        <v xml:space="preserve">N7 </v>
      </c>
      <c r="N22" s="64" t="str">
        <f ca="1">_xlfn.FORMULATEXT(N7)</f>
        <v>=IF(B7="", "", EXP($I$3*SQRT((1-N$6)/(N$6*$M7)+(1-N$6*B83)/(N$6*B83*$M7))))</v>
      </c>
      <c r="O22" s="63"/>
      <c r="P22" s="63"/>
      <c r="Q22" s="63"/>
      <c r="R22" s="63"/>
      <c r="S22" s="63"/>
      <c r="T22" s="63"/>
      <c r="U22" s="63"/>
      <c r="V22" s="63"/>
      <c r="W22" s="10">
        <f t="shared" si="1"/>
        <v>22</v>
      </c>
    </row>
    <row r="23" spans="1:51" x14ac:dyDescent="0.25">
      <c r="A23" s="33" t="s">
        <v>43</v>
      </c>
      <c r="B23" s="33" t="s">
        <v>44</v>
      </c>
      <c r="C23" s="33" t="s">
        <v>45</v>
      </c>
      <c r="D23" s="33" t="s">
        <v>46</v>
      </c>
      <c r="E23" s="33" t="s">
        <v>47</v>
      </c>
      <c r="F23" s="33" t="s">
        <v>48</v>
      </c>
      <c r="G23" s="33" t="s">
        <v>49</v>
      </c>
      <c r="H23" s="33" t="s">
        <v>50</v>
      </c>
      <c r="I23" s="33" t="s">
        <v>51</v>
      </c>
      <c r="J23" s="33" t="s">
        <v>52</v>
      </c>
      <c r="K23" s="5">
        <f>K22+1</f>
        <v>23</v>
      </c>
      <c r="M23" s="33" t="s">
        <v>83</v>
      </c>
      <c r="N23" s="33" t="s">
        <v>6</v>
      </c>
      <c r="O23" s="33" t="s">
        <v>84</v>
      </c>
      <c r="P23" s="33" t="s">
        <v>85</v>
      </c>
      <c r="Q23" s="33" t="s">
        <v>86</v>
      </c>
      <c r="R23" s="33" t="s">
        <v>0</v>
      </c>
      <c r="S23" s="33" t="s">
        <v>87</v>
      </c>
      <c r="T23" s="33" t="s">
        <v>1</v>
      </c>
      <c r="U23" s="33" t="s">
        <v>88</v>
      </c>
      <c r="V23" s="33" t="s">
        <v>89</v>
      </c>
      <c r="W23" s="10">
        <f t="shared" si="1"/>
        <v>23</v>
      </c>
    </row>
    <row r="24" spans="1:51" x14ac:dyDescent="0.25">
      <c r="A24" s="10" t="s">
        <v>77</v>
      </c>
      <c r="E24" s="54" t="str">
        <f>+E3</f>
        <v xml:space="preserve">N*P1 ≥ </v>
      </c>
      <c r="F24" s="59">
        <f>+F3</f>
        <v>5</v>
      </c>
      <c r="G24" s="18">
        <f>MAX(B26:J40)</f>
        <v>2.7018596232256766</v>
      </c>
      <c r="H24" s="10" t="str">
        <f>H5</f>
        <v>Max Min RRss</v>
      </c>
      <c r="J24" s="5" t="str">
        <f>J5</f>
        <v>V0b</v>
      </c>
      <c r="K24" s="5">
        <f t="shared" si="6"/>
        <v>24</v>
      </c>
      <c r="M24" s="10" t="s">
        <v>149</v>
      </c>
      <c r="R24" s="10">
        <v>4</v>
      </c>
      <c r="S24" s="10" t="s">
        <v>105</v>
      </c>
      <c r="T24" s="10" t="str">
        <f>Q5</f>
        <v xml:space="preserve">N*P1 ≥ </v>
      </c>
      <c r="U24" s="31">
        <f>R5</f>
        <v>5</v>
      </c>
      <c r="W24" s="10">
        <f t="shared" si="1"/>
        <v>24</v>
      </c>
      <c r="X24" s="10" t="s">
        <v>150</v>
      </c>
      <c r="AC24" s="18">
        <f>MIN(Y26:AG40)</f>
        <v>-2.2351491037677196E-2</v>
      </c>
      <c r="AD24" s="10" t="s">
        <v>94</v>
      </c>
      <c r="AE24" s="18">
        <f>MAX(Y26:AG40)</f>
        <v>0.68512534419105076</v>
      </c>
      <c r="AF24" s="10" t="s">
        <v>93</v>
      </c>
    </row>
    <row r="25" spans="1:51" x14ac:dyDescent="0.25">
      <c r="A25" s="10" t="str">
        <f t="shared" ref="A25:J25" si="16">+A6</f>
        <v>N \ P1</v>
      </c>
      <c r="B25" s="1">
        <f t="shared" si="16"/>
        <v>1E-3</v>
      </c>
      <c r="C25" s="1">
        <f t="shared" si="16"/>
        <v>2E-3</v>
      </c>
      <c r="D25" s="1">
        <f t="shared" si="16"/>
        <v>5.0000000000000001E-3</v>
      </c>
      <c r="E25" s="1">
        <f t="shared" si="16"/>
        <v>0.01</v>
      </c>
      <c r="F25" s="1">
        <f t="shared" si="16"/>
        <v>0.02</v>
      </c>
      <c r="G25" s="1">
        <f t="shared" si="16"/>
        <v>0.05</v>
      </c>
      <c r="H25" s="1">
        <f t="shared" si="16"/>
        <v>0.1</v>
      </c>
      <c r="I25" s="1">
        <f t="shared" si="16"/>
        <v>0.2</v>
      </c>
      <c r="J25" s="1">
        <f t="shared" si="16"/>
        <v>0.5</v>
      </c>
      <c r="K25" s="5">
        <f t="shared" ref="K25:K42" si="17">K24+1</f>
        <v>25</v>
      </c>
      <c r="M25" s="10" t="str">
        <f>M6</f>
        <v>N \ P1</v>
      </c>
      <c r="N25" s="1">
        <f t="shared" ref="N25:V25" si="18">N6</f>
        <v>1E-3</v>
      </c>
      <c r="O25" s="1">
        <f t="shared" si="18"/>
        <v>2E-3</v>
      </c>
      <c r="P25" s="1">
        <f t="shared" si="18"/>
        <v>5.0000000000000001E-3</v>
      </c>
      <c r="Q25" s="1">
        <f t="shared" si="18"/>
        <v>0.01</v>
      </c>
      <c r="R25" s="1">
        <f t="shared" si="18"/>
        <v>0.02</v>
      </c>
      <c r="S25" s="1">
        <f t="shared" si="18"/>
        <v>0.05</v>
      </c>
      <c r="T25" s="1">
        <f t="shared" si="18"/>
        <v>0.1</v>
      </c>
      <c r="U25" s="1">
        <f t="shared" si="18"/>
        <v>0.2</v>
      </c>
      <c r="V25" s="1">
        <f t="shared" si="18"/>
        <v>0.5</v>
      </c>
      <c r="W25" s="10">
        <f t="shared" si="1"/>
        <v>25</v>
      </c>
      <c r="X25" s="1" t="str">
        <f>M25</f>
        <v>N \ P1</v>
      </c>
      <c r="Y25" s="1">
        <f t="shared" ref="Y25:AG25" si="19">N25</f>
        <v>1E-3</v>
      </c>
      <c r="Z25" s="1">
        <f t="shared" si="19"/>
        <v>2E-3</v>
      </c>
      <c r="AA25" s="1">
        <f t="shared" si="19"/>
        <v>5.0000000000000001E-3</v>
      </c>
      <c r="AB25" s="1">
        <f t="shared" si="19"/>
        <v>0.01</v>
      </c>
      <c r="AC25" s="1">
        <f t="shared" si="19"/>
        <v>0.02</v>
      </c>
      <c r="AD25" s="1">
        <f t="shared" si="19"/>
        <v>0.05</v>
      </c>
      <c r="AE25" s="1">
        <f t="shared" si="19"/>
        <v>0.1</v>
      </c>
      <c r="AF25" s="1">
        <f t="shared" si="19"/>
        <v>0.2</v>
      </c>
      <c r="AG25" s="1">
        <f t="shared" si="19"/>
        <v>0.5</v>
      </c>
      <c r="AK25" s="1" t="s">
        <v>153</v>
      </c>
      <c r="AL25" s="1" t="s">
        <v>154</v>
      </c>
      <c r="AM25" s="89" t="s">
        <v>155</v>
      </c>
    </row>
    <row r="26" spans="1:51" x14ac:dyDescent="0.25">
      <c r="A26" s="23">
        <f t="shared" ref="A26:A40" si="20">+A7</f>
        <v>16</v>
      </c>
      <c r="B26" s="34" t="str">
        <f t="shared" ref="B26:J26" si="21">IF(B7="", "", EXP($I$3*SQRT((1-B$25)/(B$25*$A7)+(1-B$25*B7)/(B$25*B7*$A7))))</f>
        <v/>
      </c>
      <c r="C26" s="35" t="str">
        <f t="shared" si="21"/>
        <v/>
      </c>
      <c r="D26" s="35" t="str">
        <f t="shared" si="21"/>
        <v/>
      </c>
      <c r="E26" s="35" t="str">
        <f t="shared" si="21"/>
        <v/>
      </c>
      <c r="F26" s="35" t="str">
        <f t="shared" si="21"/>
        <v/>
      </c>
      <c r="G26" s="35" t="str">
        <f t="shared" si="21"/>
        <v/>
      </c>
      <c r="H26" s="35" t="str">
        <f t="shared" si="21"/>
        <v/>
      </c>
      <c r="I26" s="35" t="str">
        <f t="shared" si="21"/>
        <v/>
      </c>
      <c r="J26" s="36">
        <f t="shared" si="21"/>
        <v>1.6323796176482408</v>
      </c>
      <c r="K26" s="5">
        <f t="shared" si="17"/>
        <v>26</v>
      </c>
      <c r="M26" s="10">
        <f t="shared" ref="M26:M40" si="22">M7</f>
        <v>16</v>
      </c>
      <c r="N26" s="65" t="str">
        <f>IF(N7="","",1+($I$3*SQRT($R$24/(N$25*$M26))))</f>
        <v/>
      </c>
      <c r="O26" s="65" t="str">
        <f t="shared" ref="O26:V26" si="23">IF(O7="","",1+($I$3*SQRT($R$24/(O$25*$M26))))</f>
        <v/>
      </c>
      <c r="P26" s="65" t="str">
        <f t="shared" si="23"/>
        <v/>
      </c>
      <c r="Q26" s="65" t="str">
        <f t="shared" si="23"/>
        <v/>
      </c>
      <c r="R26" s="65" t="str">
        <f t="shared" si="23"/>
        <v/>
      </c>
      <c r="S26" s="65" t="str">
        <f t="shared" si="23"/>
        <v/>
      </c>
      <c r="T26" s="65" t="str">
        <f t="shared" si="23"/>
        <v/>
      </c>
      <c r="U26" s="65" t="str">
        <f t="shared" si="23"/>
        <v/>
      </c>
      <c r="V26" s="65">
        <f t="shared" si="23"/>
        <v>2.3859038243496773</v>
      </c>
      <c r="W26" s="10">
        <f t="shared" ref="W26:W61" si="24">K26</f>
        <v>26</v>
      </c>
      <c r="X26" s="23">
        <f t="shared" ref="X26:X41" si="25">M26</f>
        <v>16</v>
      </c>
      <c r="Y26" s="4" t="str">
        <f>IF(N26="","",N26-N7)</f>
        <v/>
      </c>
      <c r="Z26" s="4" t="str">
        <f t="shared" ref="Z26:AG26" si="26">IF(O26="","",O26-O7)</f>
        <v/>
      </c>
      <c r="AA26" s="4" t="str">
        <f t="shared" si="26"/>
        <v/>
      </c>
      <c r="AB26" s="4" t="str">
        <f t="shared" si="26"/>
        <v/>
      </c>
      <c r="AC26" s="4" t="str">
        <f t="shared" si="26"/>
        <v/>
      </c>
      <c r="AD26" s="4" t="str">
        <f t="shared" si="26"/>
        <v/>
      </c>
      <c r="AE26" s="4" t="str">
        <f t="shared" si="26"/>
        <v/>
      </c>
      <c r="AF26" s="4" t="str">
        <f t="shared" si="26"/>
        <v/>
      </c>
      <c r="AG26" s="4">
        <f t="shared" si="26"/>
        <v>0.68512534419105076</v>
      </c>
      <c r="AK26" s="1">
        <f>V$25*M26</f>
        <v>8</v>
      </c>
      <c r="AL26" s="4">
        <f>V26</f>
        <v>2.3859038243496773</v>
      </c>
      <c r="AM26" s="4">
        <f>V7</f>
        <v>1.7007784801586265</v>
      </c>
      <c r="AN26" s="1" t="s">
        <v>153</v>
      </c>
      <c r="AO26" s="1" t="s">
        <v>154</v>
      </c>
      <c r="AP26" s="89" t="s">
        <v>155</v>
      </c>
    </row>
    <row r="27" spans="1:51" x14ac:dyDescent="0.25">
      <c r="A27" s="23">
        <f t="shared" si="20"/>
        <v>36</v>
      </c>
      <c r="B27" s="37" t="str">
        <f t="shared" ref="B27:J27" si="27">IF(B8="", "", EXP($I$3*SQRT((1-B$25)/(B$25*$A8)+(1-B$25*B8)/(B$25*B8*$A8))))</f>
        <v/>
      </c>
      <c r="C27" s="38" t="str">
        <f t="shared" si="27"/>
        <v/>
      </c>
      <c r="D27" s="38" t="str">
        <f t="shared" si="27"/>
        <v/>
      </c>
      <c r="E27" s="38" t="str">
        <f t="shared" si="27"/>
        <v/>
      </c>
      <c r="F27" s="38" t="str">
        <f t="shared" si="27"/>
        <v/>
      </c>
      <c r="G27" s="38" t="str">
        <f t="shared" si="27"/>
        <v/>
      </c>
      <c r="H27" s="38" t="str">
        <f t="shared" si="27"/>
        <v/>
      </c>
      <c r="I27" s="38">
        <f t="shared" si="27"/>
        <v>2.0736741847889659</v>
      </c>
      <c r="J27" s="39">
        <f t="shared" si="27"/>
        <v>1.4429477428121411</v>
      </c>
      <c r="K27" s="5">
        <f t="shared" si="17"/>
        <v>27</v>
      </c>
      <c r="M27" s="66">
        <f t="shared" si="22"/>
        <v>36</v>
      </c>
      <c r="N27" s="65" t="str">
        <f t="shared" ref="N27:V27" si="28">IF(N8="","",1+($I$3*SQRT($R$24/(N$25*$M27))))</f>
        <v/>
      </c>
      <c r="O27" s="65" t="str">
        <f t="shared" si="28"/>
        <v/>
      </c>
      <c r="P27" s="65" t="str">
        <f t="shared" si="28"/>
        <v/>
      </c>
      <c r="Q27" s="65" t="str">
        <f t="shared" si="28"/>
        <v/>
      </c>
      <c r="R27" s="65" t="str">
        <f t="shared" si="28"/>
        <v/>
      </c>
      <c r="S27" s="65" t="str">
        <f t="shared" si="28"/>
        <v/>
      </c>
      <c r="T27" s="65" t="str">
        <f t="shared" si="28"/>
        <v/>
      </c>
      <c r="U27" s="65">
        <f t="shared" si="28"/>
        <v>2.4608709009609688</v>
      </c>
      <c r="V27" s="65">
        <f t="shared" si="28"/>
        <v>1.923935882899785</v>
      </c>
      <c r="W27" s="10">
        <f t="shared" si="24"/>
        <v>27</v>
      </c>
      <c r="X27" s="23">
        <f t="shared" si="25"/>
        <v>36</v>
      </c>
      <c r="Y27" s="4" t="str">
        <f t="shared" ref="Y27:Y40" si="29">IF(N27="","",N27-N8)</f>
        <v/>
      </c>
      <c r="Z27" s="4" t="str">
        <f t="shared" ref="Z27:Z40" si="30">IF(O27="","",O27-O8)</f>
        <v/>
      </c>
      <c r="AA27" s="4" t="str">
        <f t="shared" ref="AA27:AA40" si="31">IF(P27="","",P27-P8)</f>
        <v/>
      </c>
      <c r="AB27" s="4" t="str">
        <f t="shared" ref="AB27:AB40" si="32">IF(Q27="","",Q27-Q8)</f>
        <v/>
      </c>
      <c r="AC27" s="4" t="str">
        <f t="shared" ref="AC27:AC40" si="33">IF(R27="","",R27-R8)</f>
        <v/>
      </c>
      <c r="AD27" s="4" t="str">
        <f t="shared" ref="AD27:AD40" si="34">IF(S27="","",S27-S8)</f>
        <v/>
      </c>
      <c r="AE27" s="4" t="str">
        <f t="shared" ref="AE27:AE40" si="35">IF(T27="","",T27-T8)</f>
        <v/>
      </c>
      <c r="AF27" s="4">
        <f t="shared" ref="AF27:AF40" si="36">IF(U27="","",U27-U8)</f>
        <v>0.33225776149732589</v>
      </c>
      <c r="AG27" s="4">
        <f t="shared" ref="AG27:AG40" si="37">IF(V27="","",V27-V8)</f>
        <v>0.45918761983057643</v>
      </c>
      <c r="AK27" s="1">
        <f t="shared" ref="AK27:AK40" si="38">V$25*M27</f>
        <v>18</v>
      </c>
      <c r="AL27" s="4">
        <f t="shared" ref="AL27:AL40" si="39">V27</f>
        <v>1.923935882899785</v>
      </c>
      <c r="AM27" s="4">
        <f t="shared" ref="AM27:AM40" si="40">V8</f>
        <v>1.4647482630692086</v>
      </c>
      <c r="AN27" s="1">
        <f>U$25*M27</f>
        <v>7.2</v>
      </c>
      <c r="AO27" s="4">
        <f>U27</f>
        <v>2.4608709009609688</v>
      </c>
      <c r="AP27" s="4">
        <f>U8</f>
        <v>2.1286131394636429</v>
      </c>
      <c r="AQ27" s="1" t="s">
        <v>153</v>
      </c>
      <c r="AR27" s="1" t="s">
        <v>154</v>
      </c>
      <c r="AS27" s="89" t="s">
        <v>155</v>
      </c>
    </row>
    <row r="28" spans="1:51" x14ac:dyDescent="0.25">
      <c r="A28" s="23">
        <f t="shared" si="20"/>
        <v>64</v>
      </c>
      <c r="B28" s="37" t="str">
        <f t="shared" ref="B28:J28" si="41">IF(B9="", "", EXP($I$3*SQRT((1-B$25)/(B$25*$A9)+(1-B$25*B9)/(B$25*B9*$A9))))</f>
        <v/>
      </c>
      <c r="C28" s="38" t="str">
        <f t="shared" si="41"/>
        <v/>
      </c>
      <c r="D28" s="38" t="str">
        <f t="shared" si="41"/>
        <v/>
      </c>
      <c r="E28" s="38" t="str">
        <f t="shared" si="41"/>
        <v/>
      </c>
      <c r="F28" s="38" t="str">
        <f t="shared" si="41"/>
        <v/>
      </c>
      <c r="G28" s="38" t="str">
        <f t="shared" si="41"/>
        <v/>
      </c>
      <c r="H28" s="38">
        <f t="shared" si="41"/>
        <v>2.2982319228477666</v>
      </c>
      <c r="I28" s="38">
        <f t="shared" si="41"/>
        <v>1.7764036040315032</v>
      </c>
      <c r="J28" s="39">
        <f t="shared" si="41"/>
        <v>1.3382524388040478</v>
      </c>
      <c r="K28" s="5">
        <f t="shared" si="17"/>
        <v>28</v>
      </c>
      <c r="M28" s="66">
        <f t="shared" si="22"/>
        <v>64</v>
      </c>
      <c r="N28" s="65" t="str">
        <f t="shared" ref="N28:V28" si="42">IF(N9="","",1+($I$3*SQRT($R$24/(N$25*$M28))))</f>
        <v/>
      </c>
      <c r="O28" s="65" t="str">
        <f t="shared" si="42"/>
        <v/>
      </c>
      <c r="P28" s="65" t="str">
        <f t="shared" si="42"/>
        <v/>
      </c>
      <c r="Q28" s="65" t="str">
        <f t="shared" si="42"/>
        <v/>
      </c>
      <c r="R28" s="65" t="str">
        <f t="shared" si="42"/>
        <v/>
      </c>
      <c r="S28" s="65" t="str">
        <f t="shared" si="42"/>
        <v/>
      </c>
      <c r="T28" s="65">
        <f t="shared" si="42"/>
        <v>2.5494875807614035</v>
      </c>
      <c r="U28" s="65">
        <f t="shared" si="42"/>
        <v>2.0956531757207268</v>
      </c>
      <c r="V28" s="65">
        <f t="shared" si="42"/>
        <v>1.6929519121748386</v>
      </c>
      <c r="W28" s="10">
        <f t="shared" si="24"/>
        <v>28</v>
      </c>
      <c r="X28" s="23">
        <f t="shared" si="25"/>
        <v>64</v>
      </c>
      <c r="Y28" s="4" t="str">
        <f t="shared" si="29"/>
        <v/>
      </c>
      <c r="Z28" s="4" t="str">
        <f t="shared" si="30"/>
        <v/>
      </c>
      <c r="AA28" s="4" t="str">
        <f t="shared" si="31"/>
        <v/>
      </c>
      <c r="AB28" s="4" t="str">
        <f t="shared" si="32"/>
        <v/>
      </c>
      <c r="AC28" s="4" t="str">
        <f t="shared" si="33"/>
        <v/>
      </c>
      <c r="AD28" s="4" t="str">
        <f t="shared" si="34"/>
        <v/>
      </c>
      <c r="AE28" s="4">
        <f t="shared" si="35"/>
        <v>0.19284819560130817</v>
      </c>
      <c r="AF28" s="4">
        <f t="shared" si="36"/>
        <v>0.29391350700404395</v>
      </c>
      <c r="AG28" s="4">
        <f t="shared" si="37"/>
        <v>0.34519340129073628</v>
      </c>
      <c r="AK28" s="1">
        <f t="shared" si="38"/>
        <v>32</v>
      </c>
      <c r="AL28" s="4">
        <f t="shared" si="39"/>
        <v>1.6929519121748386</v>
      </c>
      <c r="AM28" s="4">
        <f t="shared" si="40"/>
        <v>1.3477585108841024</v>
      </c>
      <c r="AN28" s="1">
        <f t="shared" ref="AN28:AN40" si="43">U$25*M28</f>
        <v>12.8</v>
      </c>
      <c r="AO28" s="4">
        <f t="shared" ref="AO28:AO40" si="44">U28</f>
        <v>2.0956531757207268</v>
      </c>
      <c r="AP28" s="4">
        <f t="shared" ref="AP28:AP40" si="45">U9</f>
        <v>1.8017396687166829</v>
      </c>
      <c r="AQ28" s="1">
        <f>T$25*M28</f>
        <v>6.4</v>
      </c>
      <c r="AR28" s="4">
        <f>T28</f>
        <v>2.5494875807614035</v>
      </c>
      <c r="AS28" s="4">
        <f>T9</f>
        <v>2.3566393851600953</v>
      </c>
      <c r="AT28" s="1" t="s">
        <v>153</v>
      </c>
      <c r="AU28" s="1" t="s">
        <v>154</v>
      </c>
      <c r="AV28" s="89" t="s">
        <v>155</v>
      </c>
    </row>
    <row r="29" spans="1:51" x14ac:dyDescent="0.25">
      <c r="A29" s="23">
        <f t="shared" si="20"/>
        <v>100</v>
      </c>
      <c r="B29" s="37" t="str">
        <f t="shared" ref="B29:J29" si="46">IF(B10="", "", EXP($I$3*SQRT((1-B$25)/(B$25*$A10)+(1-B$25*B10)/(B$25*B10*$A10))))</f>
        <v/>
      </c>
      <c r="C29" s="38" t="str">
        <f t="shared" si="46"/>
        <v/>
      </c>
      <c r="D29" s="38" t="str">
        <f t="shared" si="46"/>
        <v/>
      </c>
      <c r="E29" s="38" t="str">
        <f t="shared" si="46"/>
        <v/>
      </c>
      <c r="F29" s="38" t="str">
        <f t="shared" si="46"/>
        <v/>
      </c>
      <c r="G29" s="38">
        <f t="shared" si="46"/>
        <v>2.6108492741444373</v>
      </c>
      <c r="H29" s="38">
        <f t="shared" si="46"/>
        <v>1.9914974721652083</v>
      </c>
      <c r="I29" s="38">
        <f t="shared" si="46"/>
        <v>1.6079345305535879</v>
      </c>
      <c r="J29" s="39">
        <f t="shared" si="46"/>
        <v>1.2729146803504416</v>
      </c>
      <c r="K29" s="5">
        <f t="shared" si="17"/>
        <v>29</v>
      </c>
      <c r="M29" s="66">
        <f t="shared" si="22"/>
        <v>100</v>
      </c>
      <c r="N29" s="65" t="str">
        <f t="shared" ref="N29:V29" si="47">IF(N10="","",1+($I$3*SQRT($R$24/(N$25*$M29))))</f>
        <v/>
      </c>
      <c r="O29" s="65" t="str">
        <f t="shared" si="47"/>
        <v/>
      </c>
      <c r="P29" s="65" t="str">
        <f t="shared" si="47"/>
        <v/>
      </c>
      <c r="Q29" s="65" t="str">
        <f t="shared" si="47"/>
        <v/>
      </c>
      <c r="R29" s="65" t="str">
        <f t="shared" si="47"/>
        <v/>
      </c>
      <c r="S29" s="65">
        <f t="shared" si="47"/>
        <v>2.7530450811531626</v>
      </c>
      <c r="T29" s="65">
        <f t="shared" si="47"/>
        <v>2.2395900646091231</v>
      </c>
      <c r="U29" s="65">
        <f t="shared" si="47"/>
        <v>1.8765225405765813</v>
      </c>
      <c r="V29" s="65">
        <f t="shared" si="47"/>
        <v>1.554361529739871</v>
      </c>
      <c r="W29" s="10">
        <f t="shared" si="24"/>
        <v>29</v>
      </c>
      <c r="X29" s="23">
        <f t="shared" si="25"/>
        <v>100</v>
      </c>
      <c r="Y29" s="4" t="str">
        <f t="shared" si="29"/>
        <v/>
      </c>
      <c r="Z29" s="4" t="str">
        <f t="shared" si="30"/>
        <v/>
      </c>
      <c r="AA29" s="4" t="str">
        <f t="shared" si="31"/>
        <v/>
      </c>
      <c r="AB29" s="4" t="str">
        <f t="shared" si="32"/>
        <v/>
      </c>
      <c r="AC29" s="4" t="str">
        <f t="shared" si="33"/>
        <v/>
      </c>
      <c r="AD29" s="4">
        <f t="shared" si="34"/>
        <v>6.5595927063603732E-2</v>
      </c>
      <c r="AE29" s="4">
        <f t="shared" si="35"/>
        <v>0.21562581028454941</v>
      </c>
      <c r="AF29" s="4">
        <f t="shared" si="36"/>
        <v>0.2549228172935265</v>
      </c>
      <c r="AG29" s="4">
        <f t="shared" si="37"/>
        <v>0.27648699921276898</v>
      </c>
      <c r="AK29" s="1">
        <f t="shared" si="38"/>
        <v>50</v>
      </c>
      <c r="AL29" s="4">
        <f t="shared" si="39"/>
        <v>1.554361529739871</v>
      </c>
      <c r="AM29" s="4">
        <f t="shared" si="40"/>
        <v>1.277874530527102</v>
      </c>
      <c r="AN29" s="1">
        <f t="shared" si="43"/>
        <v>20</v>
      </c>
      <c r="AO29" s="4">
        <f t="shared" si="44"/>
        <v>1.8765225405765813</v>
      </c>
      <c r="AP29" s="4">
        <f t="shared" si="45"/>
        <v>1.6215997232830548</v>
      </c>
      <c r="AQ29" s="1">
        <f t="shared" ref="AQ29:AQ40" si="48">T$25*M29</f>
        <v>10</v>
      </c>
      <c r="AR29" s="4">
        <f t="shared" ref="AR29:AR40" si="49">T29</f>
        <v>2.2395900646091231</v>
      </c>
      <c r="AS29" s="4">
        <f t="shared" ref="AS29:AS40" si="50">T10</f>
        <v>2.0239642543245737</v>
      </c>
      <c r="AT29" s="1">
        <f>S$25*M29</f>
        <v>5</v>
      </c>
      <c r="AU29" s="4">
        <f>S29</f>
        <v>2.7530450811531626</v>
      </c>
      <c r="AV29" s="4">
        <f>S10</f>
        <v>2.6874491540895589</v>
      </c>
    </row>
    <row r="30" spans="1:51" x14ac:dyDescent="0.25">
      <c r="A30" s="23">
        <f t="shared" si="20"/>
        <v>144</v>
      </c>
      <c r="B30" s="37" t="str">
        <f t="shared" ref="B30:J30" si="51">IF(B11="", "", EXP($I$3*SQRT((1-B$25)/(B$25*$A11)+(1-B$25*B11)/(B$25*B11*$A11))))</f>
        <v/>
      </c>
      <c r="C30" s="38" t="str">
        <f t="shared" si="51"/>
        <v/>
      </c>
      <c r="D30" s="38" t="str">
        <f t="shared" si="51"/>
        <v/>
      </c>
      <c r="E30" s="38" t="str">
        <f t="shared" si="51"/>
        <v/>
      </c>
      <c r="F30" s="38" t="str">
        <f t="shared" si="51"/>
        <v/>
      </c>
      <c r="G30" s="38">
        <f t="shared" si="51"/>
        <v>2.2742678061211286</v>
      </c>
      <c r="H30" s="38">
        <f t="shared" si="51"/>
        <v>1.8020375605132173</v>
      </c>
      <c r="I30" s="38">
        <f t="shared" si="51"/>
        <v>1.4993820482276812</v>
      </c>
      <c r="J30" s="39">
        <f t="shared" si="51"/>
        <v>1.2284952183464928</v>
      </c>
      <c r="K30" s="5">
        <f t="shared" si="17"/>
        <v>30</v>
      </c>
      <c r="M30" s="66">
        <f t="shared" si="22"/>
        <v>144</v>
      </c>
      <c r="N30" s="65" t="str">
        <f t="shared" ref="N30:V30" si="52">IF(N11="","",1+($I$3*SQRT($R$24/(N$25*$M30))))</f>
        <v/>
      </c>
      <c r="O30" s="65" t="str">
        <f t="shared" si="52"/>
        <v/>
      </c>
      <c r="P30" s="65" t="str">
        <f t="shared" si="52"/>
        <v/>
      </c>
      <c r="Q30" s="65" t="str">
        <f t="shared" si="52"/>
        <v/>
      </c>
      <c r="R30" s="65" t="str">
        <f t="shared" si="52"/>
        <v/>
      </c>
      <c r="S30" s="65">
        <f t="shared" si="52"/>
        <v>2.4608709009609688</v>
      </c>
      <c r="T30" s="65">
        <f t="shared" si="52"/>
        <v>2.0329917205076025</v>
      </c>
      <c r="U30" s="65">
        <f t="shared" si="52"/>
        <v>1.7304354504804844</v>
      </c>
      <c r="V30" s="65">
        <f t="shared" si="52"/>
        <v>1.4619679414498925</v>
      </c>
      <c r="W30" s="10">
        <f t="shared" si="24"/>
        <v>30</v>
      </c>
      <c r="X30" s="23">
        <f t="shared" si="25"/>
        <v>144</v>
      </c>
      <c r="Y30" s="4" t="str">
        <f t="shared" si="29"/>
        <v/>
      </c>
      <c r="Z30" s="4" t="str">
        <f t="shared" si="30"/>
        <v/>
      </c>
      <c r="AA30" s="4" t="str">
        <f t="shared" si="31"/>
        <v/>
      </c>
      <c r="AB30" s="4" t="str">
        <f t="shared" si="32"/>
        <v/>
      </c>
      <c r="AC30" s="4" t="str">
        <f t="shared" si="33"/>
        <v/>
      </c>
      <c r="AD30" s="4">
        <f t="shared" si="34"/>
        <v>0.13856007008358651</v>
      </c>
      <c r="AE30" s="4">
        <f t="shared" si="35"/>
        <v>0.21112130935277951</v>
      </c>
      <c r="AF30" s="4">
        <f t="shared" si="36"/>
        <v>0.22287146055369211</v>
      </c>
      <c r="AG30" s="4">
        <f t="shared" si="37"/>
        <v>0.23056708765151313</v>
      </c>
      <c r="AK30" s="1">
        <f t="shared" si="38"/>
        <v>72</v>
      </c>
      <c r="AL30" s="4">
        <f t="shared" si="39"/>
        <v>1.4619679414498925</v>
      </c>
      <c r="AM30" s="4">
        <f t="shared" si="40"/>
        <v>1.2314008537983794</v>
      </c>
      <c r="AN30" s="1">
        <f t="shared" si="43"/>
        <v>28.8</v>
      </c>
      <c r="AO30" s="4">
        <f t="shared" si="44"/>
        <v>1.7304354504804844</v>
      </c>
      <c r="AP30" s="4">
        <f t="shared" si="45"/>
        <v>1.5075639899267923</v>
      </c>
      <c r="AQ30" s="1">
        <f t="shared" si="48"/>
        <v>14.4</v>
      </c>
      <c r="AR30" s="4">
        <f t="shared" si="49"/>
        <v>2.0329917205076025</v>
      </c>
      <c r="AS30" s="4">
        <f t="shared" si="50"/>
        <v>1.821870411154823</v>
      </c>
      <c r="AT30" s="1">
        <f t="shared" ref="AT30:AT40" si="53">S$25*M30</f>
        <v>7.2</v>
      </c>
      <c r="AU30" s="4">
        <f t="shared" ref="AU30:AU40" si="54">S30</f>
        <v>2.4608709009609688</v>
      </c>
      <c r="AV30" s="4">
        <f t="shared" ref="AV30:AV40" si="55">S11</f>
        <v>2.3223108308773823</v>
      </c>
    </row>
    <row r="31" spans="1:51" x14ac:dyDescent="0.25">
      <c r="A31" s="23">
        <f t="shared" si="20"/>
        <v>196</v>
      </c>
      <c r="B31" s="37" t="str">
        <f t="shared" ref="B31:J31" si="56">IF(B12="", "", EXP($I$3*SQRT((1-B$25)/(B$25*$A12)+(1-B$25*B12)/(B$25*B12*$A12))))</f>
        <v/>
      </c>
      <c r="C31" s="38" t="str">
        <f t="shared" si="56"/>
        <v/>
      </c>
      <c r="D31" s="38" t="str">
        <f t="shared" si="56"/>
        <v/>
      </c>
      <c r="E31" s="38" t="str">
        <f t="shared" si="56"/>
        <v/>
      </c>
      <c r="F31" s="38" t="str">
        <f t="shared" si="56"/>
        <v/>
      </c>
      <c r="G31" s="38">
        <f t="shared" si="56"/>
        <v>2.0540954345119791</v>
      </c>
      <c r="H31" s="38">
        <f t="shared" si="56"/>
        <v>1.673287724948779</v>
      </c>
      <c r="I31" s="38">
        <f t="shared" si="56"/>
        <v>1.4236191508159413</v>
      </c>
      <c r="J31" s="39">
        <f t="shared" si="56"/>
        <v>1.1964105235586822</v>
      </c>
      <c r="K31" s="5">
        <f t="shared" si="17"/>
        <v>31</v>
      </c>
      <c r="M31" s="66">
        <f t="shared" si="22"/>
        <v>196</v>
      </c>
      <c r="N31" s="65" t="str">
        <f t="shared" ref="N31:V31" si="57">IF(N12="","",1+($I$3*SQRT($R$24/(N$25*$M31))))</f>
        <v/>
      </c>
      <c r="O31" s="65" t="str">
        <f t="shared" si="57"/>
        <v/>
      </c>
      <c r="P31" s="65" t="str">
        <f t="shared" si="57"/>
        <v/>
      </c>
      <c r="Q31" s="65" t="str">
        <f t="shared" si="57"/>
        <v/>
      </c>
      <c r="R31" s="65" t="str">
        <f t="shared" si="57"/>
        <v/>
      </c>
      <c r="S31" s="65">
        <f t="shared" si="57"/>
        <v>2.2521750579665447</v>
      </c>
      <c r="T31" s="65">
        <f t="shared" si="57"/>
        <v>1.885421474720802</v>
      </c>
      <c r="U31" s="65">
        <f t="shared" si="57"/>
        <v>1.6260875289832724</v>
      </c>
      <c r="V31" s="65">
        <f t="shared" si="57"/>
        <v>1.3959725212427649</v>
      </c>
      <c r="W31" s="10">
        <f t="shared" si="24"/>
        <v>31</v>
      </c>
      <c r="X31" s="23">
        <f t="shared" si="25"/>
        <v>196</v>
      </c>
      <c r="Y31" s="4" t="str">
        <f t="shared" si="29"/>
        <v/>
      </c>
      <c r="Z31" s="4" t="str">
        <f t="shared" si="30"/>
        <v/>
      </c>
      <c r="AA31" s="4" t="str">
        <f t="shared" si="31"/>
        <v/>
      </c>
      <c r="AB31" s="4" t="str">
        <f t="shared" si="32"/>
        <v/>
      </c>
      <c r="AC31" s="4" t="str">
        <f t="shared" si="33"/>
        <v/>
      </c>
      <c r="AD31" s="4">
        <f t="shared" si="34"/>
        <v>0.16604604844791515</v>
      </c>
      <c r="AE31" s="4">
        <f t="shared" si="35"/>
        <v>0.1991582059861885</v>
      </c>
      <c r="AF31" s="4">
        <f t="shared" si="36"/>
        <v>0.19719085822275373</v>
      </c>
      <c r="AG31" s="4">
        <f t="shared" si="37"/>
        <v>0.19771641029163067</v>
      </c>
      <c r="AK31" s="1">
        <f t="shared" si="38"/>
        <v>98</v>
      </c>
      <c r="AL31" s="4">
        <f t="shared" si="39"/>
        <v>1.3959725212427649</v>
      </c>
      <c r="AM31" s="4">
        <f t="shared" si="40"/>
        <v>1.1982561109511343</v>
      </c>
      <c r="AN31" s="1">
        <f t="shared" si="43"/>
        <v>39.200000000000003</v>
      </c>
      <c r="AO31" s="4">
        <f t="shared" si="44"/>
        <v>1.6260875289832724</v>
      </c>
      <c r="AP31" s="4">
        <f t="shared" si="45"/>
        <v>1.4288966707605186</v>
      </c>
      <c r="AQ31" s="1">
        <f t="shared" si="48"/>
        <v>19.600000000000001</v>
      </c>
      <c r="AR31" s="4">
        <f t="shared" si="49"/>
        <v>1.885421474720802</v>
      </c>
      <c r="AS31" s="4">
        <f t="shared" si="50"/>
        <v>1.6862632687346135</v>
      </c>
      <c r="AT31" s="1">
        <f t="shared" si="53"/>
        <v>9.8000000000000007</v>
      </c>
      <c r="AU31" s="4">
        <f t="shared" si="54"/>
        <v>2.2521750579665447</v>
      </c>
      <c r="AV31" s="4">
        <f t="shared" si="55"/>
        <v>2.0861290095186296</v>
      </c>
      <c r="AW31" s="1" t="s">
        <v>153</v>
      </c>
      <c r="AX31" s="1" t="s">
        <v>154</v>
      </c>
      <c r="AY31" s="89" t="s">
        <v>155</v>
      </c>
    </row>
    <row r="32" spans="1:51" x14ac:dyDescent="0.25">
      <c r="A32" s="23">
        <f t="shared" si="20"/>
        <v>256</v>
      </c>
      <c r="B32" s="37" t="str">
        <f t="shared" ref="B32:J32" si="58">IF(B13="", "", EXP($I$3*SQRT((1-B$25)/(B$25*$A13)+(1-B$25*B13)/(B$25*B13*$A13))))</f>
        <v/>
      </c>
      <c r="C32" s="38" t="str">
        <f t="shared" si="58"/>
        <v/>
      </c>
      <c r="D32" s="38" t="str">
        <f t="shared" si="58"/>
        <v/>
      </c>
      <c r="E32" s="38" t="str">
        <f t="shared" si="58"/>
        <v/>
      </c>
      <c r="F32" s="38">
        <f t="shared" si="58"/>
        <v>2.6413585031360154</v>
      </c>
      <c r="G32" s="38">
        <f t="shared" si="58"/>
        <v>1.8987639368885141</v>
      </c>
      <c r="H32" s="38">
        <f t="shared" si="58"/>
        <v>1.5800787216539072</v>
      </c>
      <c r="I32" s="38">
        <f t="shared" si="58"/>
        <v>1.3677539914609609</v>
      </c>
      <c r="J32" s="39">
        <f t="shared" si="58"/>
        <v>1.1721782896855457</v>
      </c>
      <c r="K32" s="5">
        <f t="shared" si="17"/>
        <v>32</v>
      </c>
      <c r="M32" s="66">
        <f t="shared" si="22"/>
        <v>256</v>
      </c>
      <c r="N32" s="65" t="str">
        <f t="shared" ref="N32:V32" si="59">IF(N13="","",1+($I$3*SQRT($R$24/(N$25*$M32))))</f>
        <v/>
      </c>
      <c r="O32" s="65" t="str">
        <f t="shared" si="59"/>
        <v/>
      </c>
      <c r="P32" s="65" t="str">
        <f t="shared" si="59"/>
        <v/>
      </c>
      <c r="Q32" s="65" t="str">
        <f t="shared" si="59"/>
        <v/>
      </c>
      <c r="R32" s="65">
        <f t="shared" si="59"/>
        <v>2.7323797804370971</v>
      </c>
      <c r="S32" s="65">
        <f t="shared" si="59"/>
        <v>2.0956531757207268</v>
      </c>
      <c r="T32" s="65">
        <f t="shared" si="59"/>
        <v>1.7747437903807017</v>
      </c>
      <c r="U32" s="65">
        <f t="shared" si="59"/>
        <v>1.5478265878603634</v>
      </c>
      <c r="V32" s="65">
        <f t="shared" si="59"/>
        <v>1.3464759560874193</v>
      </c>
      <c r="W32" s="10">
        <f t="shared" si="24"/>
        <v>32</v>
      </c>
      <c r="X32" s="23">
        <f t="shared" si="25"/>
        <v>256</v>
      </c>
      <c r="Y32" s="4" t="str">
        <f t="shared" si="29"/>
        <v/>
      </c>
      <c r="Z32" s="4" t="str">
        <f t="shared" si="30"/>
        <v/>
      </c>
      <c r="AA32" s="4" t="str">
        <f t="shared" si="31"/>
        <v/>
      </c>
      <c r="AB32" s="4" t="str">
        <f t="shared" si="32"/>
        <v/>
      </c>
      <c r="AC32" s="4">
        <f t="shared" si="33"/>
        <v>1.8557746452644519E-2</v>
      </c>
      <c r="AD32" s="4">
        <f t="shared" si="34"/>
        <v>0.17449642731563553</v>
      </c>
      <c r="AE32" s="4">
        <f t="shared" si="35"/>
        <v>0.18572248808668146</v>
      </c>
      <c r="AF32" s="4">
        <f t="shared" si="36"/>
        <v>0.17647357492645721</v>
      </c>
      <c r="AG32" s="4">
        <f t="shared" si="37"/>
        <v>0.17305335636132235</v>
      </c>
      <c r="AK32" s="1">
        <f t="shared" si="38"/>
        <v>128</v>
      </c>
      <c r="AL32" s="4">
        <f t="shared" si="39"/>
        <v>1.3464759560874193</v>
      </c>
      <c r="AM32" s="4">
        <f t="shared" si="40"/>
        <v>1.173422599726097</v>
      </c>
      <c r="AN32" s="1">
        <f t="shared" si="43"/>
        <v>51.2</v>
      </c>
      <c r="AO32" s="4">
        <f t="shared" si="44"/>
        <v>1.5478265878603634</v>
      </c>
      <c r="AP32" s="4">
        <f t="shared" si="45"/>
        <v>1.3713530129339062</v>
      </c>
      <c r="AQ32" s="1">
        <f t="shared" si="48"/>
        <v>25.6</v>
      </c>
      <c r="AR32" s="4">
        <f t="shared" si="49"/>
        <v>1.7747437903807017</v>
      </c>
      <c r="AS32" s="4">
        <f t="shared" si="50"/>
        <v>1.5890213022940203</v>
      </c>
      <c r="AT32" s="1">
        <f t="shared" si="53"/>
        <v>12.8</v>
      </c>
      <c r="AU32" s="4">
        <f t="shared" si="54"/>
        <v>2.0956531757207268</v>
      </c>
      <c r="AV32" s="4">
        <f t="shared" si="55"/>
        <v>1.9211567484050913</v>
      </c>
      <c r="AW32" s="1">
        <f>R$25*M32</f>
        <v>5.12</v>
      </c>
      <c r="AX32" s="4">
        <f>R32</f>
        <v>2.7323797804370971</v>
      </c>
      <c r="AY32" s="4">
        <f>R13</f>
        <v>2.7138220339844525</v>
      </c>
    </row>
    <row r="33" spans="1:63" x14ac:dyDescent="0.25">
      <c r="A33" s="23">
        <f t="shared" si="20"/>
        <v>324</v>
      </c>
      <c r="B33" s="37" t="str">
        <f t="shared" ref="B33:J33" si="60">IF(B14="", "", EXP($I$3*SQRT((1-B$25)/(B$25*$A14)+(1-B$25*B14)/(B$25*B14*$A14))))</f>
        <v/>
      </c>
      <c r="C33" s="38" t="str">
        <f t="shared" si="60"/>
        <v/>
      </c>
      <c r="D33" s="38" t="str">
        <f t="shared" si="60"/>
        <v/>
      </c>
      <c r="E33" s="38" t="str">
        <f t="shared" si="60"/>
        <v/>
      </c>
      <c r="F33" s="38">
        <f t="shared" si="60"/>
        <v>2.4060243338998606</v>
      </c>
      <c r="G33" s="38">
        <f t="shared" si="60"/>
        <v>1.7832745727891899</v>
      </c>
      <c r="H33" s="38">
        <f t="shared" si="60"/>
        <v>1.5094805759115988</v>
      </c>
      <c r="I33" s="38">
        <f t="shared" si="60"/>
        <v>1.3248683937394341</v>
      </c>
      <c r="J33" s="39">
        <f t="shared" si="60"/>
        <v>1.1532429208838293</v>
      </c>
      <c r="K33" s="5">
        <f t="shared" si="17"/>
        <v>33</v>
      </c>
      <c r="M33" s="66">
        <f t="shared" si="22"/>
        <v>324</v>
      </c>
      <c r="N33" s="65" t="str">
        <f t="shared" ref="N33:V33" si="61">IF(N14="","",1+($I$3*SQRT($R$24/(N$25*$M33))))</f>
        <v/>
      </c>
      <c r="O33" s="65" t="str">
        <f t="shared" si="61"/>
        <v/>
      </c>
      <c r="P33" s="65" t="str">
        <f t="shared" si="61"/>
        <v/>
      </c>
      <c r="Q33" s="65" t="str">
        <f t="shared" si="61"/>
        <v/>
      </c>
      <c r="R33" s="65">
        <f t="shared" si="61"/>
        <v>2.5398931381663084</v>
      </c>
      <c r="S33" s="65">
        <f t="shared" si="61"/>
        <v>1.9739139339739793</v>
      </c>
      <c r="T33" s="65">
        <f t="shared" si="61"/>
        <v>1.6886611470050683</v>
      </c>
      <c r="U33" s="65">
        <f t="shared" si="61"/>
        <v>1.4869569669869898</v>
      </c>
      <c r="V33" s="65">
        <f t="shared" si="61"/>
        <v>1.3079786276332617</v>
      </c>
      <c r="W33" s="10">
        <f t="shared" si="24"/>
        <v>33</v>
      </c>
      <c r="X33" s="23">
        <f t="shared" si="25"/>
        <v>324</v>
      </c>
      <c r="Y33" s="4" t="str">
        <f t="shared" si="29"/>
        <v/>
      </c>
      <c r="Z33" s="4" t="str">
        <f t="shared" si="30"/>
        <v/>
      </c>
      <c r="AA33" s="4" t="str">
        <f t="shared" si="31"/>
        <v/>
      </c>
      <c r="AB33" s="4" t="str">
        <f t="shared" si="32"/>
        <v/>
      </c>
      <c r="AC33" s="4">
        <f t="shared" si="33"/>
        <v>8.0154931729944146E-2</v>
      </c>
      <c r="AD33" s="4">
        <f t="shared" si="34"/>
        <v>0.17438677190521568</v>
      </c>
      <c r="AE33" s="4">
        <f t="shared" si="35"/>
        <v>0.17276101618944084</v>
      </c>
      <c r="AF33" s="4">
        <f t="shared" si="36"/>
        <v>0.15952590154798552</v>
      </c>
      <c r="AG33" s="4">
        <f t="shared" si="37"/>
        <v>0.15385747470416078</v>
      </c>
      <c r="AK33" s="1">
        <f t="shared" si="38"/>
        <v>162</v>
      </c>
      <c r="AL33" s="4">
        <f t="shared" si="39"/>
        <v>1.3079786276332617</v>
      </c>
      <c r="AM33" s="4">
        <f t="shared" si="40"/>
        <v>1.1541211529291009</v>
      </c>
      <c r="AN33" s="1">
        <f t="shared" si="43"/>
        <v>64.8</v>
      </c>
      <c r="AO33" s="4">
        <f t="shared" si="44"/>
        <v>1.4869569669869898</v>
      </c>
      <c r="AP33" s="4">
        <f t="shared" si="45"/>
        <v>1.3274310654390042</v>
      </c>
      <c r="AQ33" s="1">
        <f t="shared" si="48"/>
        <v>32.4</v>
      </c>
      <c r="AR33" s="4">
        <f t="shared" si="49"/>
        <v>1.6886611470050683</v>
      </c>
      <c r="AS33" s="4">
        <f t="shared" si="50"/>
        <v>1.5159001308156275</v>
      </c>
      <c r="AT33" s="1">
        <f t="shared" si="53"/>
        <v>16.2</v>
      </c>
      <c r="AU33" s="4">
        <f t="shared" si="54"/>
        <v>1.9739139339739793</v>
      </c>
      <c r="AV33" s="4">
        <f t="shared" si="55"/>
        <v>1.7995271620687636</v>
      </c>
      <c r="AW33" s="1">
        <f t="shared" ref="AW33:AW40" si="62">R$25*M33</f>
        <v>6.48</v>
      </c>
      <c r="AX33" s="4">
        <f t="shared" ref="AX33:AX40" si="63">R33</f>
        <v>2.5398931381663084</v>
      </c>
      <c r="AY33" s="4">
        <f t="shared" ref="AY33:AY40" si="64">R14</f>
        <v>2.4597382064363642</v>
      </c>
    </row>
    <row r="34" spans="1:63" x14ac:dyDescent="0.25">
      <c r="A34" s="23">
        <f t="shared" si="20"/>
        <v>400</v>
      </c>
      <c r="B34" s="37" t="str">
        <f t="shared" ref="B34:J34" si="65">IF(B15="", "", EXP($I$3*SQRT((1-B$25)/(B$25*$A15)+(1-B$25*B15)/(B$25*B15*$A15))))</f>
        <v/>
      </c>
      <c r="C34" s="38" t="str">
        <f t="shared" si="65"/>
        <v/>
      </c>
      <c r="D34" s="38" t="str">
        <f t="shared" si="65"/>
        <v/>
      </c>
      <c r="E34" s="38" t="str">
        <f t="shared" si="65"/>
        <v/>
      </c>
      <c r="F34" s="38">
        <f t="shared" si="65"/>
        <v>2.2296848908141231</v>
      </c>
      <c r="G34" s="38">
        <f t="shared" si="65"/>
        <v>1.6940312522352281</v>
      </c>
      <c r="H34" s="38">
        <f t="shared" si="65"/>
        <v>1.4541607846123623</v>
      </c>
      <c r="I34" s="38">
        <f t="shared" si="65"/>
        <v>1.2909163404400081</v>
      </c>
      <c r="J34" s="39">
        <f t="shared" si="65"/>
        <v>1.1380450525430905</v>
      </c>
      <c r="K34" s="5">
        <f t="shared" si="17"/>
        <v>34</v>
      </c>
      <c r="M34" s="66">
        <f t="shared" si="22"/>
        <v>400</v>
      </c>
      <c r="N34" s="65" t="str">
        <f t="shared" ref="N34:V34" si="66">IF(N15="","",1+($I$3*SQRT($R$24/(N$25*$M34))))</f>
        <v/>
      </c>
      <c r="O34" s="65" t="str">
        <f t="shared" si="66"/>
        <v/>
      </c>
      <c r="P34" s="65" t="str">
        <f t="shared" si="66"/>
        <v/>
      </c>
      <c r="Q34" s="65" t="str">
        <f t="shared" si="66"/>
        <v/>
      </c>
      <c r="R34" s="65">
        <f t="shared" si="66"/>
        <v>2.3859038243496773</v>
      </c>
      <c r="S34" s="65">
        <f t="shared" si="66"/>
        <v>1.8765225405765813</v>
      </c>
      <c r="T34" s="65">
        <f t="shared" si="66"/>
        <v>1.6197950323045616</v>
      </c>
      <c r="U34" s="65">
        <f t="shared" si="66"/>
        <v>1.4382612702882906</v>
      </c>
      <c r="V34" s="65">
        <f t="shared" si="66"/>
        <v>1.2771807648699354</v>
      </c>
      <c r="W34" s="10">
        <f t="shared" si="24"/>
        <v>34</v>
      </c>
      <c r="X34" s="23">
        <f t="shared" si="25"/>
        <v>400</v>
      </c>
      <c r="Y34" s="4" t="str">
        <f t="shared" si="29"/>
        <v/>
      </c>
      <c r="Z34" s="4" t="str">
        <f t="shared" si="30"/>
        <v/>
      </c>
      <c r="AA34" s="4" t="str">
        <f t="shared" si="31"/>
        <v/>
      </c>
      <c r="AB34" s="4" t="str">
        <f t="shared" si="32"/>
        <v/>
      </c>
      <c r="AC34" s="4">
        <f t="shared" si="33"/>
        <v>0.115338746310091</v>
      </c>
      <c r="AD34" s="4">
        <f t="shared" si="34"/>
        <v>0.17032960989726442</v>
      </c>
      <c r="AE34" s="4">
        <f t="shared" si="35"/>
        <v>0.16087232817083241</v>
      </c>
      <c r="AF34" s="4">
        <f t="shared" si="36"/>
        <v>0.14545622088171983</v>
      </c>
      <c r="AG34" s="4">
        <f t="shared" si="37"/>
        <v>0.13849296785521736</v>
      </c>
      <c r="AK34" s="1">
        <f t="shared" si="38"/>
        <v>200</v>
      </c>
      <c r="AL34" s="4">
        <f t="shared" si="39"/>
        <v>1.2771807648699354</v>
      </c>
      <c r="AM34" s="4">
        <f t="shared" si="40"/>
        <v>1.138687797014718</v>
      </c>
      <c r="AN34" s="1">
        <f t="shared" si="43"/>
        <v>80</v>
      </c>
      <c r="AO34" s="4">
        <f t="shared" si="44"/>
        <v>1.4382612702882906</v>
      </c>
      <c r="AP34" s="4">
        <f t="shared" si="45"/>
        <v>1.2928050494065708</v>
      </c>
      <c r="AQ34" s="1">
        <f t="shared" si="48"/>
        <v>40</v>
      </c>
      <c r="AR34" s="4">
        <f t="shared" si="49"/>
        <v>1.6197950323045616</v>
      </c>
      <c r="AS34" s="4">
        <f t="shared" si="50"/>
        <v>1.4589227041337292</v>
      </c>
      <c r="AT34" s="1">
        <f t="shared" si="53"/>
        <v>20</v>
      </c>
      <c r="AU34" s="4">
        <f t="shared" si="54"/>
        <v>1.8765225405765813</v>
      </c>
      <c r="AV34" s="4">
        <f t="shared" si="55"/>
        <v>1.7061929306793169</v>
      </c>
      <c r="AW34" s="1">
        <f t="shared" si="62"/>
        <v>8</v>
      </c>
      <c r="AX34" s="4">
        <f t="shared" si="63"/>
        <v>2.3859038243496773</v>
      </c>
      <c r="AY34" s="4">
        <f t="shared" si="64"/>
        <v>2.2705650780395863</v>
      </c>
      <c r="AZ34" s="1" t="s">
        <v>153</v>
      </c>
      <c r="BA34" s="1" t="s">
        <v>154</v>
      </c>
      <c r="BB34" s="89" t="s">
        <v>155</v>
      </c>
      <c r="BC34" s="89"/>
      <c r="BD34" s="89"/>
      <c r="BE34" s="89"/>
    </row>
    <row r="35" spans="1:63" x14ac:dyDescent="0.25">
      <c r="A35" s="23">
        <f t="shared" si="20"/>
        <v>625</v>
      </c>
      <c r="B35" s="37" t="str">
        <f t="shared" ref="B35:J35" si="67">IF(B16="", "", EXP($I$3*SQRT((1-B$25)/(B$25*$A16)+(1-B$25*B16)/(B$25*B16*$A16))))</f>
        <v/>
      </c>
      <c r="C35" s="38" t="str">
        <f t="shared" si="67"/>
        <v/>
      </c>
      <c r="D35" s="38" t="str">
        <f t="shared" si="67"/>
        <v/>
      </c>
      <c r="E35" s="38">
        <f t="shared" si="67"/>
        <v>2.4545300203508029</v>
      </c>
      <c r="F35" s="38">
        <f t="shared" si="67"/>
        <v>1.9360372588627588</v>
      </c>
      <c r="G35" s="38">
        <f t="shared" si="67"/>
        <v>1.5400245640575292</v>
      </c>
      <c r="H35" s="38">
        <f t="shared" si="67"/>
        <v>1.3571088409708947</v>
      </c>
      <c r="I35" s="38">
        <f t="shared" si="67"/>
        <v>1.2306051485457496</v>
      </c>
      <c r="J35" s="39">
        <f t="shared" si="67"/>
        <v>1.110592027698202</v>
      </c>
      <c r="K35" s="5">
        <f t="shared" si="17"/>
        <v>35</v>
      </c>
      <c r="M35" s="66">
        <f t="shared" si="22"/>
        <v>625</v>
      </c>
      <c r="N35" s="65" t="str">
        <f t="shared" ref="N35:V35" si="68">IF(N16="","",1+($I$3*SQRT($R$24/(N$25*$M35))))</f>
        <v/>
      </c>
      <c r="O35" s="65" t="str">
        <f t="shared" si="68"/>
        <v/>
      </c>
      <c r="P35" s="65" t="str">
        <f t="shared" si="68"/>
        <v/>
      </c>
      <c r="Q35" s="65">
        <f t="shared" si="68"/>
        <v>2.5679711876320432</v>
      </c>
      <c r="R35" s="65">
        <f t="shared" si="68"/>
        <v>2.1087230594797419</v>
      </c>
      <c r="S35" s="65">
        <f t="shared" si="68"/>
        <v>1.7012180324612651</v>
      </c>
      <c r="T35" s="65">
        <f t="shared" si="68"/>
        <v>1.4958360258436492</v>
      </c>
      <c r="U35" s="65">
        <f t="shared" si="68"/>
        <v>1.3506090162306326</v>
      </c>
      <c r="V35" s="65">
        <f t="shared" si="68"/>
        <v>1.2217446118959483</v>
      </c>
      <c r="W35" s="10">
        <f t="shared" si="24"/>
        <v>35</v>
      </c>
      <c r="X35" s="23">
        <f t="shared" si="25"/>
        <v>625</v>
      </c>
      <c r="Y35" s="4" t="str">
        <f t="shared" si="29"/>
        <v/>
      </c>
      <c r="Z35" s="4" t="str">
        <f t="shared" si="30"/>
        <v/>
      </c>
      <c r="AA35" s="4" t="str">
        <f t="shared" si="31"/>
        <v/>
      </c>
      <c r="AB35" s="4">
        <f t="shared" si="32"/>
        <v>5.7634826455299493E-2</v>
      </c>
      <c r="AC35" s="4">
        <f t="shared" si="33"/>
        <v>0.15007867661345364</v>
      </c>
      <c r="AD35" s="4">
        <f t="shared" si="34"/>
        <v>0.15466972941357171</v>
      </c>
      <c r="AE35" s="4">
        <f t="shared" si="35"/>
        <v>0.13621224048903424</v>
      </c>
      <c r="AF35" s="4">
        <f t="shared" si="36"/>
        <v>0.11901778130606688</v>
      </c>
      <c r="AG35" s="4">
        <f t="shared" si="37"/>
        <v>0.11082118341153668</v>
      </c>
      <c r="AK35" s="1">
        <f t="shared" si="38"/>
        <v>312.5</v>
      </c>
      <c r="AL35" s="4">
        <f t="shared" si="39"/>
        <v>1.2217446118959483</v>
      </c>
      <c r="AM35" s="4">
        <f t="shared" si="40"/>
        <v>1.1109234284844116</v>
      </c>
      <c r="AN35" s="1">
        <f t="shared" si="43"/>
        <v>125</v>
      </c>
      <c r="AO35" s="4">
        <f t="shared" si="44"/>
        <v>1.3506090162306326</v>
      </c>
      <c r="AP35" s="4">
        <f t="shared" si="45"/>
        <v>1.2315912349245657</v>
      </c>
      <c r="AQ35" s="1">
        <f t="shared" si="48"/>
        <v>62.5</v>
      </c>
      <c r="AR35" s="4">
        <f t="shared" si="49"/>
        <v>1.4958360258436492</v>
      </c>
      <c r="AS35" s="4">
        <f t="shared" si="50"/>
        <v>1.3596237853546149</v>
      </c>
      <c r="AT35" s="1">
        <f t="shared" si="53"/>
        <v>31.25</v>
      </c>
      <c r="AU35" s="4">
        <f t="shared" si="54"/>
        <v>1.7012180324612651</v>
      </c>
      <c r="AV35" s="4">
        <f t="shared" si="55"/>
        <v>1.5465483030476934</v>
      </c>
      <c r="AW35" s="1">
        <f t="shared" si="62"/>
        <v>12.5</v>
      </c>
      <c r="AX35" s="4">
        <f t="shared" si="63"/>
        <v>2.1087230594797419</v>
      </c>
      <c r="AY35" s="4">
        <f t="shared" si="64"/>
        <v>1.9586443828662883</v>
      </c>
      <c r="AZ35" s="1">
        <f>Q$25*M35</f>
        <v>6.25</v>
      </c>
      <c r="BA35" s="4">
        <f>Q35</f>
        <v>2.5679711876320432</v>
      </c>
      <c r="BB35" s="4">
        <f>Q16</f>
        <v>2.5103363611767437</v>
      </c>
      <c r="BC35" s="4"/>
      <c r="BD35" s="4"/>
      <c r="BE35" s="4"/>
    </row>
    <row r="36" spans="1:63" x14ac:dyDescent="0.25">
      <c r="A36" s="23">
        <f t="shared" si="20"/>
        <v>900</v>
      </c>
      <c r="B36" s="37" t="str">
        <f t="shared" ref="B36:J36" si="69">IF(B17="", "", EXP($I$3*SQRT((1-B$25)/(B$25*$A17)+(1-B$25*B17)/(B$25*B17*$A17))))</f>
        <v/>
      </c>
      <c r="C36" s="38" t="str">
        <f t="shared" si="69"/>
        <v/>
      </c>
      <c r="D36" s="38" t="str">
        <f t="shared" si="69"/>
        <v/>
      </c>
      <c r="E36" s="38">
        <f t="shared" si="69"/>
        <v>2.1536067362537739</v>
      </c>
      <c r="F36" s="38">
        <f t="shared" si="69"/>
        <v>1.7554379832650888</v>
      </c>
      <c r="G36" s="38">
        <f t="shared" si="69"/>
        <v>1.4418356634541003</v>
      </c>
      <c r="H36" s="38">
        <f t="shared" si="69"/>
        <v>1.2941692139216072</v>
      </c>
      <c r="I36" s="38">
        <f t="shared" si="69"/>
        <v>1.1909758238660089</v>
      </c>
      <c r="J36" s="39">
        <f t="shared" si="69"/>
        <v>1.0922309968137456</v>
      </c>
      <c r="K36" s="5">
        <f t="shared" si="17"/>
        <v>36</v>
      </c>
      <c r="M36" s="66">
        <f t="shared" si="22"/>
        <v>900</v>
      </c>
      <c r="N36" s="65" t="str">
        <f t="shared" ref="N36:V36" si="70">IF(N17="","",1+($I$3*SQRT($R$24/(N$25*$M36))))</f>
        <v/>
      </c>
      <c r="O36" s="65" t="str">
        <f t="shared" si="70"/>
        <v/>
      </c>
      <c r="P36" s="65" t="str">
        <f t="shared" si="70"/>
        <v/>
      </c>
      <c r="Q36" s="65">
        <f t="shared" si="70"/>
        <v>2.3066426563600357</v>
      </c>
      <c r="R36" s="65">
        <f t="shared" si="70"/>
        <v>1.923935882899785</v>
      </c>
      <c r="S36" s="65">
        <f t="shared" si="70"/>
        <v>1.5843483603843875</v>
      </c>
      <c r="T36" s="65">
        <f t="shared" si="70"/>
        <v>1.4131966882030409</v>
      </c>
      <c r="U36" s="65">
        <f t="shared" si="70"/>
        <v>1.2921741801921938</v>
      </c>
      <c r="V36" s="65">
        <f t="shared" si="70"/>
        <v>1.1847871765799569</v>
      </c>
      <c r="W36" s="10">
        <f t="shared" si="24"/>
        <v>36</v>
      </c>
      <c r="X36" s="23">
        <f t="shared" si="25"/>
        <v>900</v>
      </c>
      <c r="Y36" s="4" t="str">
        <f t="shared" si="29"/>
        <v/>
      </c>
      <c r="Z36" s="4" t="str">
        <f t="shared" si="30"/>
        <v/>
      </c>
      <c r="AA36" s="4" t="str">
        <f t="shared" si="31"/>
        <v/>
      </c>
      <c r="AB36" s="4">
        <f t="shared" si="32"/>
        <v>0.1182792916972546</v>
      </c>
      <c r="AC36" s="4">
        <f t="shared" si="33"/>
        <v>0.154732244079411</v>
      </c>
      <c r="AD36" s="4">
        <f t="shared" si="34"/>
        <v>0.13861956149925514</v>
      </c>
      <c r="AE36" s="4">
        <f t="shared" si="35"/>
        <v>0.11754191518914148</v>
      </c>
      <c r="AF36" s="4">
        <f t="shared" si="36"/>
        <v>0.10062028067558781</v>
      </c>
      <c r="AG36" s="4">
        <f t="shared" si="37"/>
        <v>9.2363502947308884E-2</v>
      </c>
      <c r="AK36" s="1">
        <f t="shared" si="38"/>
        <v>450</v>
      </c>
      <c r="AL36" s="4">
        <f t="shared" si="39"/>
        <v>1.1847871765799569</v>
      </c>
      <c r="AM36" s="4">
        <f t="shared" si="40"/>
        <v>1.092423673632648</v>
      </c>
      <c r="AN36" s="1">
        <f t="shared" si="43"/>
        <v>180</v>
      </c>
      <c r="AO36" s="4">
        <f t="shared" si="44"/>
        <v>1.2921741801921938</v>
      </c>
      <c r="AP36" s="4">
        <f t="shared" si="45"/>
        <v>1.191553899516606</v>
      </c>
      <c r="AQ36" s="1">
        <f t="shared" si="48"/>
        <v>90</v>
      </c>
      <c r="AR36" s="4">
        <f t="shared" si="49"/>
        <v>1.4131966882030409</v>
      </c>
      <c r="AS36" s="4">
        <f t="shared" si="50"/>
        <v>1.2956547730138994</v>
      </c>
      <c r="AT36" s="1">
        <f t="shared" si="53"/>
        <v>45</v>
      </c>
      <c r="AU36" s="4">
        <f t="shared" si="54"/>
        <v>1.5843483603843875</v>
      </c>
      <c r="AV36" s="4">
        <f t="shared" si="55"/>
        <v>1.4457287988851324</v>
      </c>
      <c r="AW36" s="1">
        <f t="shared" si="62"/>
        <v>18</v>
      </c>
      <c r="AX36" s="4">
        <f t="shared" si="63"/>
        <v>1.923935882899785</v>
      </c>
      <c r="AY36" s="4">
        <f t="shared" si="64"/>
        <v>1.769203638820374</v>
      </c>
      <c r="AZ36" s="1">
        <f t="shared" ref="AZ36:AZ40" si="71">Q$25*M36</f>
        <v>9</v>
      </c>
      <c r="BA36" s="4">
        <f t="shared" ref="BA36:BA40" si="72">Q36</f>
        <v>2.3066426563600357</v>
      </c>
      <c r="BB36" s="4">
        <f t="shared" ref="BB36:BB40" si="73">Q17</f>
        <v>2.1883633646627811</v>
      </c>
      <c r="BC36" s="91" t="s">
        <v>153</v>
      </c>
      <c r="BD36" s="91" t="s">
        <v>154</v>
      </c>
      <c r="BE36" s="92" t="s">
        <v>155</v>
      </c>
    </row>
    <row r="37" spans="1:63" x14ac:dyDescent="0.25">
      <c r="A37" s="23">
        <f t="shared" si="20"/>
        <v>1600</v>
      </c>
      <c r="B37" s="37" t="str">
        <f t="shared" ref="B37:J37" si="74">IF(B18="", "", EXP($I$3*SQRT((1-B$25)/(B$25*$A18)+(1-B$25*B18)/(B$25*B18*$A18))))</f>
        <v/>
      </c>
      <c r="C37" s="38" t="str">
        <f t="shared" si="74"/>
        <v/>
      </c>
      <c r="D37" s="38">
        <f t="shared" si="74"/>
        <v>2.2478305169823729</v>
      </c>
      <c r="E37" s="38">
        <f t="shared" si="74"/>
        <v>1.8156976100014648</v>
      </c>
      <c r="F37" s="38">
        <f t="shared" si="74"/>
        <v>1.5448309194340788</v>
      </c>
      <c r="G37" s="38">
        <f t="shared" si="74"/>
        <v>1.3238766493225194</v>
      </c>
      <c r="H37" s="38">
        <f t="shared" si="74"/>
        <v>1.2174375926506644</v>
      </c>
      <c r="I37" s="38">
        <f t="shared" si="74"/>
        <v>1.1420984294880929</v>
      </c>
      <c r="J37" s="39">
        <f t="shared" si="74"/>
        <v>1.0692263997819651</v>
      </c>
      <c r="K37" s="5">
        <f t="shared" si="17"/>
        <v>37</v>
      </c>
      <c r="M37" s="66">
        <f t="shared" si="22"/>
        <v>1600</v>
      </c>
      <c r="N37" s="65" t="str">
        <f t="shared" ref="N37:V37" si="75">IF(N18="","",1+($I$3*SQRT($R$24/(N$25*$M37))))</f>
        <v/>
      </c>
      <c r="O37" s="65"/>
      <c r="P37" s="65">
        <f t="shared" si="75"/>
        <v>2.3859038243496773</v>
      </c>
      <c r="Q37" s="65">
        <f t="shared" si="75"/>
        <v>1.9799819922700268</v>
      </c>
      <c r="R37" s="65">
        <f t="shared" si="75"/>
        <v>1.6929519121748386</v>
      </c>
      <c r="S37" s="65">
        <f t="shared" si="75"/>
        <v>1.4382612702882906</v>
      </c>
      <c r="T37" s="65">
        <f t="shared" si="75"/>
        <v>1.3098975161522808</v>
      </c>
      <c r="U37" s="65">
        <f t="shared" si="75"/>
        <v>1.2191306351441453</v>
      </c>
      <c r="V37" s="65">
        <f t="shared" si="75"/>
        <v>1.1385903824349677</v>
      </c>
      <c r="W37" s="10">
        <f t="shared" si="24"/>
        <v>37</v>
      </c>
      <c r="X37" s="23">
        <f t="shared" si="25"/>
        <v>1600</v>
      </c>
      <c r="Y37" s="4" t="str">
        <f t="shared" si="29"/>
        <v/>
      </c>
      <c r="Z37" s="4" t="str">
        <f t="shared" si="30"/>
        <v/>
      </c>
      <c r="AA37" s="4">
        <f t="shared" si="31"/>
        <v>9.7669768032669246E-2</v>
      </c>
      <c r="AB37" s="4">
        <f t="shared" si="32"/>
        <v>0.14822407226492884</v>
      </c>
      <c r="AC37" s="4">
        <f t="shared" si="33"/>
        <v>0.1419368810670909</v>
      </c>
      <c r="AD37" s="4">
        <f t="shared" si="34"/>
        <v>0.11267852858928729</v>
      </c>
      <c r="AE37" s="4">
        <f t="shared" si="35"/>
        <v>9.1817054741488269E-2</v>
      </c>
      <c r="AF37" s="4">
        <f t="shared" si="36"/>
        <v>7.6784380281522235E-2</v>
      </c>
      <c r="AG37" s="4">
        <f t="shared" si="37"/>
        <v>6.9282224916537904E-2</v>
      </c>
      <c r="AK37" s="1">
        <f t="shared" si="38"/>
        <v>800</v>
      </c>
      <c r="AL37" s="4">
        <f t="shared" si="39"/>
        <v>1.1385903824349677</v>
      </c>
      <c r="AM37" s="4">
        <f t="shared" si="40"/>
        <v>1.0693081575184298</v>
      </c>
      <c r="AN37" s="1">
        <f t="shared" si="43"/>
        <v>320</v>
      </c>
      <c r="AO37" s="4">
        <f t="shared" si="44"/>
        <v>1.2191306351441453</v>
      </c>
      <c r="AP37" s="4">
        <f t="shared" si="45"/>
        <v>1.1423462548626231</v>
      </c>
      <c r="AQ37" s="1">
        <f t="shared" si="48"/>
        <v>160</v>
      </c>
      <c r="AR37" s="4">
        <f t="shared" si="49"/>
        <v>1.3098975161522808</v>
      </c>
      <c r="AS37" s="4">
        <f t="shared" si="50"/>
        <v>1.2180804614107925</v>
      </c>
      <c r="AT37" s="1">
        <f t="shared" si="53"/>
        <v>80</v>
      </c>
      <c r="AU37" s="4">
        <f t="shared" si="54"/>
        <v>1.4382612702882906</v>
      </c>
      <c r="AV37" s="4">
        <f t="shared" si="55"/>
        <v>1.3255827416990034</v>
      </c>
      <c r="AW37" s="1">
        <f t="shared" si="62"/>
        <v>32</v>
      </c>
      <c r="AX37" s="4">
        <f t="shared" si="63"/>
        <v>1.6929519121748386</v>
      </c>
      <c r="AY37" s="4">
        <f t="shared" si="64"/>
        <v>1.5510150311077477</v>
      </c>
      <c r="AZ37" s="1">
        <f t="shared" si="71"/>
        <v>16</v>
      </c>
      <c r="BA37" s="4">
        <f t="shared" si="72"/>
        <v>1.9799819922700268</v>
      </c>
      <c r="BB37" s="4">
        <f t="shared" si="73"/>
        <v>1.831757920005098</v>
      </c>
      <c r="BC37" s="1">
        <f>P$25*M37</f>
        <v>8</v>
      </c>
      <c r="BD37" s="4">
        <f>P37</f>
        <v>2.3859038243496773</v>
      </c>
      <c r="BE37" s="4">
        <f>P18</f>
        <v>2.288234056317008</v>
      </c>
      <c r="BF37" s="1" t="s">
        <v>153</v>
      </c>
      <c r="BG37" s="1" t="s">
        <v>154</v>
      </c>
      <c r="BH37" s="89" t="s">
        <v>155</v>
      </c>
    </row>
    <row r="38" spans="1:63" x14ac:dyDescent="0.25">
      <c r="A38" s="23">
        <f t="shared" si="20"/>
        <v>2500</v>
      </c>
      <c r="B38" s="37" t="str">
        <f t="shared" ref="B38:J38" si="76">IF(B19="", "", EXP($I$3*SQRT((1-B$25)/(B$25*$A19)+(1-B$25*B19)/(B$25*B19*$A19))))</f>
        <v/>
      </c>
      <c r="C38" s="38">
        <f t="shared" si="76"/>
        <v>2.7018596232256766</v>
      </c>
      <c r="D38" s="38">
        <f t="shared" si="76"/>
        <v>1.9483039909749904</v>
      </c>
      <c r="E38" s="38">
        <f t="shared" si="76"/>
        <v>1.6306465995082995</v>
      </c>
      <c r="F38" s="38">
        <f t="shared" si="76"/>
        <v>1.4258795014040184</v>
      </c>
      <c r="G38" s="38">
        <f t="shared" si="76"/>
        <v>1.25555955665159</v>
      </c>
      <c r="H38" s="38">
        <f t="shared" si="76"/>
        <v>1.1724235586964518</v>
      </c>
      <c r="I38" s="38">
        <f t="shared" si="76"/>
        <v>1.1131284570773199</v>
      </c>
      <c r="J38" s="39">
        <f t="shared" si="76"/>
        <v>1.0554008734754285</v>
      </c>
      <c r="K38" s="5">
        <f t="shared" si="17"/>
        <v>38</v>
      </c>
      <c r="M38" s="66">
        <f t="shared" si="22"/>
        <v>2500</v>
      </c>
      <c r="N38" s="65" t="str">
        <f t="shared" ref="N38:V38" si="77">IF(N19="","",1+($I$3*SQRT($R$24/(N$25*$M38))))</f>
        <v/>
      </c>
      <c r="O38" s="88">
        <f t="shared" si="77"/>
        <v>2.7530450811531626</v>
      </c>
      <c r="P38" s="65">
        <f t="shared" si="77"/>
        <v>2.1087230594797419</v>
      </c>
      <c r="Q38" s="65">
        <f t="shared" si="77"/>
        <v>1.7839855938160216</v>
      </c>
      <c r="R38" s="65">
        <f t="shared" si="77"/>
        <v>1.554361529739871</v>
      </c>
      <c r="S38" s="65">
        <f t="shared" si="77"/>
        <v>1.3506090162306326</v>
      </c>
      <c r="T38" s="65">
        <f t="shared" si="77"/>
        <v>1.2479180129218246</v>
      </c>
      <c r="U38" s="65">
        <f t="shared" si="77"/>
        <v>1.1753045081153162</v>
      </c>
      <c r="V38" s="65">
        <f t="shared" si="77"/>
        <v>1.1108723059479741</v>
      </c>
      <c r="W38" s="10">
        <f t="shared" si="24"/>
        <v>38</v>
      </c>
      <c r="X38" s="23">
        <f t="shared" si="25"/>
        <v>2500</v>
      </c>
      <c r="Y38" s="4" t="str">
        <f t="shared" si="29"/>
        <v/>
      </c>
      <c r="Z38" s="4">
        <f t="shared" si="30"/>
        <v>-2.2351491037677196E-2</v>
      </c>
      <c r="AA38" s="4">
        <f t="shared" si="31"/>
        <v>0.13805946888395226</v>
      </c>
      <c r="AB38" s="4">
        <f t="shared" si="32"/>
        <v>0.14466032236338378</v>
      </c>
      <c r="AC38" s="4">
        <f t="shared" si="33"/>
        <v>0.12519556937847587</v>
      </c>
      <c r="AD38" s="4">
        <f t="shared" si="34"/>
        <v>9.41559492540196E-2</v>
      </c>
      <c r="AE38" s="4">
        <f t="shared" si="35"/>
        <v>7.5160273360431074E-2</v>
      </c>
      <c r="AF38" s="4">
        <f t="shared" si="36"/>
        <v>6.2047940770614485E-2</v>
      </c>
      <c r="AG38" s="4">
        <f t="shared" si="37"/>
        <v>5.542942711670884E-2</v>
      </c>
      <c r="AK38" s="1">
        <f t="shared" si="38"/>
        <v>1250</v>
      </c>
      <c r="AL38" s="4">
        <f t="shared" si="39"/>
        <v>1.1108723059479741</v>
      </c>
      <c r="AM38" s="4">
        <f t="shared" si="40"/>
        <v>1.0554428788312653</v>
      </c>
      <c r="AN38" s="1">
        <f t="shared" si="43"/>
        <v>500</v>
      </c>
      <c r="AO38" s="4">
        <f t="shared" si="44"/>
        <v>1.1753045081153162</v>
      </c>
      <c r="AP38" s="4">
        <f t="shared" si="45"/>
        <v>1.1132565673447017</v>
      </c>
      <c r="AQ38" s="1">
        <f t="shared" si="48"/>
        <v>250</v>
      </c>
      <c r="AR38" s="4">
        <f t="shared" si="49"/>
        <v>1.2479180129218246</v>
      </c>
      <c r="AS38" s="4">
        <f t="shared" si="50"/>
        <v>1.1727577395613935</v>
      </c>
      <c r="AT38" s="1">
        <f t="shared" si="53"/>
        <v>125</v>
      </c>
      <c r="AU38" s="4">
        <f t="shared" si="54"/>
        <v>1.3506090162306326</v>
      </c>
      <c r="AV38" s="4">
        <f t="shared" si="55"/>
        <v>1.256453066976613</v>
      </c>
      <c r="AW38" s="1">
        <f t="shared" si="62"/>
        <v>50</v>
      </c>
      <c r="AX38" s="4">
        <f t="shared" si="63"/>
        <v>1.554361529739871</v>
      </c>
      <c r="AY38" s="4">
        <f t="shared" si="64"/>
        <v>1.4291659603613951</v>
      </c>
      <c r="AZ38" s="1">
        <f t="shared" si="71"/>
        <v>25</v>
      </c>
      <c r="BA38" s="4">
        <f t="shared" si="72"/>
        <v>1.7839855938160216</v>
      </c>
      <c r="BB38" s="4">
        <f t="shared" si="73"/>
        <v>1.6393252714526378</v>
      </c>
      <c r="BC38" s="1">
        <f>P$25*M38</f>
        <v>12.5</v>
      </c>
      <c r="BD38" s="4">
        <f t="shared" ref="BD38:BD40" si="78">P38</f>
        <v>2.1087230594797419</v>
      </c>
      <c r="BE38" s="4">
        <f t="shared" ref="BE38:BE40" si="79">P19</f>
        <v>1.9706635905957897</v>
      </c>
      <c r="BF38" s="1">
        <f>O$25*M38</f>
        <v>5</v>
      </c>
      <c r="BG38" s="4">
        <f>O38</f>
        <v>2.7530450811531626</v>
      </c>
      <c r="BH38" s="4">
        <f>O19</f>
        <v>2.7753965721908398</v>
      </c>
    </row>
    <row r="39" spans="1:63" x14ac:dyDescent="0.25">
      <c r="A39" s="23">
        <f t="shared" si="20"/>
        <v>4900</v>
      </c>
      <c r="B39" s="37" t="str">
        <f t="shared" ref="B39:J39" si="80">IF(B20="", "", EXP($I$3*SQRT((1-B$25)/(B$25*$A20)+(1-B$25*B20)/(B$25*B20*$A20))))</f>
        <v/>
      </c>
      <c r="C39" s="38">
        <f t="shared" si="80"/>
        <v>2.1025465433650159</v>
      </c>
      <c r="D39" s="38">
        <f t="shared" si="80"/>
        <v>1.6403161795577079</v>
      </c>
      <c r="E39" s="38">
        <f t="shared" si="80"/>
        <v>1.4335229755704917</v>
      </c>
      <c r="F39" s="38">
        <f t="shared" si="80"/>
        <v>1.2962808854804402</v>
      </c>
      <c r="G39" s="38">
        <f t="shared" si="80"/>
        <v>1.179679947256423</v>
      </c>
      <c r="H39" s="38">
        <f t="shared" si="80"/>
        <v>1.1219142896221714</v>
      </c>
      <c r="I39" s="38">
        <f t="shared" si="80"/>
        <v>1.0803523175511864</v>
      </c>
      <c r="J39" s="39">
        <f t="shared" si="80"/>
        <v>1.0395843717714961</v>
      </c>
      <c r="K39" s="5">
        <f t="shared" si="17"/>
        <v>39</v>
      </c>
      <c r="M39" s="66">
        <f t="shared" si="22"/>
        <v>4900</v>
      </c>
      <c r="N39" s="65" t="str">
        <f t="shared" ref="N39:V39" si="81">IF(N20="","",1+($I$3*SQRT($R$24/(N$25*$M39))))</f>
        <v/>
      </c>
      <c r="O39" s="65">
        <f t="shared" si="81"/>
        <v>2.2521750579665447</v>
      </c>
      <c r="P39" s="65">
        <f t="shared" si="81"/>
        <v>1.7919450424855299</v>
      </c>
      <c r="Q39" s="65">
        <f t="shared" si="81"/>
        <v>1.5599897098685869</v>
      </c>
      <c r="R39" s="65">
        <f t="shared" si="81"/>
        <v>1.3959725212427649</v>
      </c>
      <c r="S39" s="65">
        <f t="shared" si="81"/>
        <v>1.2504350115933089</v>
      </c>
      <c r="T39" s="65">
        <f t="shared" si="81"/>
        <v>1.1770842949441604</v>
      </c>
      <c r="U39" s="65">
        <f t="shared" si="81"/>
        <v>1.1252175057966545</v>
      </c>
      <c r="V39" s="65">
        <f t="shared" si="81"/>
        <v>1.0791945042485529</v>
      </c>
      <c r="W39" s="10">
        <f t="shared" si="24"/>
        <v>39</v>
      </c>
      <c r="X39" s="23">
        <f t="shared" si="25"/>
        <v>4900</v>
      </c>
      <c r="Y39" s="4" t="str">
        <f t="shared" si="29"/>
        <v/>
      </c>
      <c r="Z39" s="4">
        <f t="shared" si="30"/>
        <v>0.11875647995945338</v>
      </c>
      <c r="AA39" s="4">
        <f t="shared" si="31"/>
        <v>0.14273253165735156</v>
      </c>
      <c r="AB39" s="4">
        <f t="shared" si="32"/>
        <v>0.12310545981579679</v>
      </c>
      <c r="AC39" s="4">
        <f t="shared" si="33"/>
        <v>9.8442387826305655E-2</v>
      </c>
      <c r="AD39" s="4">
        <f t="shared" si="34"/>
        <v>7.0420964267688513E-2</v>
      </c>
      <c r="AE39" s="4">
        <f t="shared" si="35"/>
        <v>5.5046097959343676E-2</v>
      </c>
      <c r="AF39" s="4">
        <f t="shared" si="36"/>
        <v>4.481798738970344E-2</v>
      </c>
      <c r="AG39" s="4">
        <f t="shared" si="37"/>
        <v>3.9594763693587831E-2</v>
      </c>
      <c r="AK39" s="1">
        <f t="shared" si="38"/>
        <v>2450</v>
      </c>
      <c r="AL39" s="4">
        <f t="shared" si="39"/>
        <v>1.0791945042485529</v>
      </c>
      <c r="AM39" s="4">
        <f t="shared" si="40"/>
        <v>1.0395997405549651</v>
      </c>
      <c r="AN39" s="1">
        <f t="shared" si="43"/>
        <v>980</v>
      </c>
      <c r="AO39" s="4">
        <f t="shared" si="44"/>
        <v>1.1252175057966545</v>
      </c>
      <c r="AP39" s="4">
        <f t="shared" si="45"/>
        <v>1.080399518406951</v>
      </c>
      <c r="AQ39" s="1">
        <f t="shared" si="48"/>
        <v>490</v>
      </c>
      <c r="AR39" s="4">
        <f t="shared" si="49"/>
        <v>1.1770842949441604</v>
      </c>
      <c r="AS39" s="4">
        <f t="shared" si="50"/>
        <v>1.1220381969848168</v>
      </c>
      <c r="AT39" s="1">
        <f t="shared" si="53"/>
        <v>245</v>
      </c>
      <c r="AU39" s="4">
        <f t="shared" si="54"/>
        <v>1.2504350115933089</v>
      </c>
      <c r="AV39" s="4">
        <f t="shared" si="55"/>
        <v>1.1800140473256204</v>
      </c>
      <c r="AW39" s="1">
        <f t="shared" si="62"/>
        <v>98</v>
      </c>
      <c r="AX39" s="4">
        <f t="shared" si="63"/>
        <v>1.3959725212427649</v>
      </c>
      <c r="AY39" s="4">
        <f t="shared" si="64"/>
        <v>1.2975301334164593</v>
      </c>
      <c r="AZ39" s="1">
        <f t="shared" si="71"/>
        <v>49</v>
      </c>
      <c r="BA39" s="4">
        <f t="shared" si="72"/>
        <v>1.5599897098685869</v>
      </c>
      <c r="BB39" s="4">
        <f t="shared" si="73"/>
        <v>1.4368842500527901</v>
      </c>
      <c r="BC39" s="1">
        <f>P$25*M39</f>
        <v>24.5</v>
      </c>
      <c r="BD39" s="4">
        <f t="shared" si="78"/>
        <v>1.7919450424855299</v>
      </c>
      <c r="BE39" s="4">
        <f t="shared" si="79"/>
        <v>1.6492125108281783</v>
      </c>
      <c r="BF39" s="1">
        <f t="shared" ref="BF39:BF40" si="82">O$25*M39</f>
        <v>9.8000000000000007</v>
      </c>
      <c r="BG39" s="4">
        <f>O39</f>
        <v>2.2521750579665447</v>
      </c>
      <c r="BH39" s="4">
        <f>O20</f>
        <v>2.1334185780070913</v>
      </c>
      <c r="BI39" s="1" t="s">
        <v>153</v>
      </c>
      <c r="BJ39" s="1" t="s">
        <v>154</v>
      </c>
      <c r="BK39" s="89" t="s">
        <v>155</v>
      </c>
    </row>
    <row r="40" spans="1:63" x14ac:dyDescent="0.25">
      <c r="A40" s="23">
        <f t="shared" si="20"/>
        <v>10000</v>
      </c>
      <c r="B40" s="40">
        <f t="shared" ref="B40:J40" si="83">IF(B21="", "", EXP($I$3*SQRT((1-B$25)/(B$25*$A21)+(1-B$25*B21)/(B$25*B21*$A21))))</f>
        <v>2.0898994038511391</v>
      </c>
      <c r="C40" s="41">
        <f t="shared" si="83"/>
        <v>1.7209494450927934</v>
      </c>
      <c r="D40" s="41">
        <f t="shared" si="83"/>
        <v>1.4301898942485665</v>
      </c>
      <c r="E40" s="41">
        <f t="shared" si="83"/>
        <v>1.2949350852794579</v>
      </c>
      <c r="F40" s="41">
        <f t="shared" si="83"/>
        <v>1.2033284056740707</v>
      </c>
      <c r="G40" s="41">
        <f t="shared" si="83"/>
        <v>1.1242835147641284</v>
      </c>
      <c r="H40" s="41">
        <f t="shared" si="83"/>
        <v>1.0846857350029449</v>
      </c>
      <c r="I40" s="41">
        <f t="shared" si="83"/>
        <v>1.0560060506598616</v>
      </c>
      <c r="J40" s="42">
        <f t="shared" si="83"/>
        <v>1.0277136527228394</v>
      </c>
      <c r="K40" s="5">
        <f t="shared" si="17"/>
        <v>40</v>
      </c>
      <c r="M40" s="66">
        <f t="shared" si="22"/>
        <v>10000</v>
      </c>
      <c r="N40" s="65">
        <f t="shared" ref="N40:V40" si="84">IF(N21="","",1+($I$3*SQRT($R$24/(N$25*$M40))))</f>
        <v>2.2395900646091231</v>
      </c>
      <c r="O40" s="65">
        <f t="shared" si="84"/>
        <v>1.8765225405765813</v>
      </c>
      <c r="P40" s="65">
        <f t="shared" si="84"/>
        <v>1.554361529739871</v>
      </c>
      <c r="Q40" s="65">
        <f t="shared" si="84"/>
        <v>1.3919927969080108</v>
      </c>
      <c r="R40" s="65">
        <f t="shared" si="84"/>
        <v>1.2771807648699354</v>
      </c>
      <c r="S40" s="65">
        <f t="shared" si="84"/>
        <v>1.1753045081153162</v>
      </c>
      <c r="T40" s="65">
        <f t="shared" si="84"/>
        <v>1.1239590064609122</v>
      </c>
      <c r="U40" s="65">
        <f t="shared" si="84"/>
        <v>1.0876522540576581</v>
      </c>
      <c r="V40" s="65">
        <f t="shared" si="84"/>
        <v>1.0554361529739871</v>
      </c>
      <c r="W40" s="10">
        <f t="shared" si="24"/>
        <v>40</v>
      </c>
      <c r="X40" s="23">
        <f t="shared" si="25"/>
        <v>10000</v>
      </c>
      <c r="Y40" s="4">
        <f t="shared" si="29"/>
        <v>0.11965649374812326</v>
      </c>
      <c r="Z40" s="4">
        <f t="shared" si="30"/>
        <v>0.14381318442395474</v>
      </c>
      <c r="AA40" s="4">
        <f t="shared" si="31"/>
        <v>0.12091589960293314</v>
      </c>
      <c r="AB40" s="4">
        <f t="shared" si="32"/>
        <v>9.5851654705805922E-2</v>
      </c>
      <c r="AC40" s="4">
        <f t="shared" si="33"/>
        <v>7.3410231475191212E-2</v>
      </c>
      <c r="AD40" s="4">
        <f t="shared" si="34"/>
        <v>5.0904177929190109E-2</v>
      </c>
      <c r="AE40" s="4">
        <f t="shared" si="35"/>
        <v>3.9230218952127638E-2</v>
      </c>
      <c r="AF40" s="4">
        <f t="shared" si="36"/>
        <v>3.162988043529813E-2</v>
      </c>
      <c r="AG40" s="4">
        <f t="shared" si="37"/>
        <v>2.7717213095769244E-2</v>
      </c>
      <c r="AK40" s="1">
        <f t="shared" si="38"/>
        <v>5000</v>
      </c>
      <c r="AL40" s="4">
        <f t="shared" si="39"/>
        <v>1.0554361529739871</v>
      </c>
      <c r="AM40" s="4">
        <f t="shared" si="40"/>
        <v>1.0277189398782178</v>
      </c>
      <c r="AN40" s="1">
        <f t="shared" si="43"/>
        <v>2000</v>
      </c>
      <c r="AO40" s="4">
        <f t="shared" si="44"/>
        <v>1.0876522540576581</v>
      </c>
      <c r="AP40" s="4">
        <f t="shared" si="45"/>
        <v>1.05602237362236</v>
      </c>
      <c r="AQ40" s="1">
        <f t="shared" si="48"/>
        <v>1000</v>
      </c>
      <c r="AR40" s="4">
        <f t="shared" si="49"/>
        <v>1.1239590064609122</v>
      </c>
      <c r="AS40" s="4">
        <f t="shared" si="50"/>
        <v>1.0847287875087845</v>
      </c>
      <c r="AT40" s="1">
        <f t="shared" si="53"/>
        <v>500</v>
      </c>
      <c r="AU40" s="4">
        <f t="shared" si="54"/>
        <v>1.1753045081153162</v>
      </c>
      <c r="AV40" s="4">
        <f t="shared" si="55"/>
        <v>1.1244003301861261</v>
      </c>
      <c r="AW40" s="1">
        <f t="shared" si="62"/>
        <v>200</v>
      </c>
      <c r="AX40" s="4">
        <f t="shared" si="63"/>
        <v>1.2771807648699354</v>
      </c>
      <c r="AY40" s="4">
        <f t="shared" si="64"/>
        <v>1.2037705333947442</v>
      </c>
      <c r="AZ40" s="1">
        <f t="shared" si="71"/>
        <v>100</v>
      </c>
      <c r="BA40" s="4">
        <f t="shared" si="72"/>
        <v>1.3919927969080108</v>
      </c>
      <c r="BB40" s="4">
        <f t="shared" si="73"/>
        <v>1.2961411422022049</v>
      </c>
      <c r="BC40" s="1">
        <f>P$25*M40</f>
        <v>50</v>
      </c>
      <c r="BD40" s="4">
        <f t="shared" si="78"/>
        <v>1.554361529739871</v>
      </c>
      <c r="BE40" s="4">
        <f t="shared" si="79"/>
        <v>1.4334456301369378</v>
      </c>
      <c r="BF40" s="1">
        <f t="shared" si="82"/>
        <v>20</v>
      </c>
      <c r="BG40" s="4">
        <f>O40</f>
        <v>1.8765225405765813</v>
      </c>
      <c r="BH40" s="4">
        <f>O21</f>
        <v>1.7327093561526266</v>
      </c>
      <c r="BI40" s="1">
        <f>N$25*M40</f>
        <v>10</v>
      </c>
      <c r="BJ40" s="4">
        <f>N40</f>
        <v>2.2395900646091231</v>
      </c>
      <c r="BK40" s="4">
        <f>N21</f>
        <v>2.1199335708609999</v>
      </c>
    </row>
    <row r="41" spans="1:63" x14ac:dyDescent="0.25">
      <c r="A41" s="54" t="str">
        <f>CHAR(COLUMN(B26)+64)&amp;ROW(B26)&amp;" "</f>
        <v xml:space="preserve">B26 </v>
      </c>
      <c r="B41" s="44" t="str">
        <f ca="1">_xlfn.FORMULATEXT(B26)</f>
        <v>=IF(B7="", "", EXP($I$3*SQRT((1-B$25)/(B$25*$A7)+(1-B$25*B7)/(B$25*B7*$A7))))</v>
      </c>
      <c r="D41" s="63"/>
      <c r="E41" s="63"/>
      <c r="F41" s="63"/>
      <c r="G41" s="63"/>
      <c r="H41" s="63"/>
      <c r="I41" s="63"/>
      <c r="J41" s="63"/>
      <c r="K41" s="5">
        <f t="shared" si="17"/>
        <v>41</v>
      </c>
      <c r="M41" s="54" t="str">
        <f>CHAR(COLUMN(N26)+64)&amp;ROW(N26)&amp;" "</f>
        <v xml:space="preserve">N26 </v>
      </c>
      <c r="N41" s="67" t="str">
        <f ca="1">_xlfn.FORMULATEXT(N26)</f>
        <v>=IF(N7="","",1+($I$3*SQRT($R$24/(N$25*$M26))))</v>
      </c>
      <c r="W41" s="10">
        <f t="shared" si="24"/>
        <v>41</v>
      </c>
      <c r="X41" s="1" t="str">
        <f t="shared" si="25"/>
        <v xml:space="preserve">N26 </v>
      </c>
      <c r="Y41" s="18" t="str">
        <f ca="1">_xlfn.FORMULATEXT(Y26)</f>
        <v>=IF(N26="","",N26-N7)</v>
      </c>
    </row>
    <row r="42" spans="1:63" x14ac:dyDescent="0.25">
      <c r="A42" s="33" t="s">
        <v>43</v>
      </c>
      <c r="B42" s="33" t="s">
        <v>44</v>
      </c>
      <c r="C42" s="33" t="s">
        <v>45</v>
      </c>
      <c r="D42" s="33" t="s">
        <v>46</v>
      </c>
      <c r="E42" s="33" t="s">
        <v>47</v>
      </c>
      <c r="F42" s="33" t="s">
        <v>48</v>
      </c>
      <c r="G42" s="33" t="s">
        <v>49</v>
      </c>
      <c r="H42" s="33" t="s">
        <v>50</v>
      </c>
      <c r="I42" s="33" t="s">
        <v>51</v>
      </c>
      <c r="J42" s="33" t="s">
        <v>52</v>
      </c>
      <c r="K42" s="5">
        <f t="shared" si="17"/>
        <v>42</v>
      </c>
      <c r="M42" s="33" t="s">
        <v>83</v>
      </c>
      <c r="N42" s="33" t="s">
        <v>6</v>
      </c>
      <c r="O42" s="33" t="s">
        <v>84</v>
      </c>
      <c r="P42" s="33" t="s">
        <v>85</v>
      </c>
      <c r="Q42" s="33" t="s">
        <v>86</v>
      </c>
      <c r="R42" s="33" t="s">
        <v>0</v>
      </c>
      <c r="S42" s="33" t="s">
        <v>87</v>
      </c>
      <c r="T42" s="33" t="s">
        <v>1</v>
      </c>
      <c r="U42" s="33" t="s">
        <v>88</v>
      </c>
      <c r="V42" s="33" t="s">
        <v>89</v>
      </c>
      <c r="W42" s="10">
        <f t="shared" si="24"/>
        <v>42</v>
      </c>
      <c r="X42" s="33" t="s">
        <v>96</v>
      </c>
      <c r="Y42" s="33" t="s">
        <v>97</v>
      </c>
      <c r="Z42" s="33" t="s">
        <v>2</v>
      </c>
      <c r="AA42" s="33" t="s">
        <v>98</v>
      </c>
      <c r="AB42" s="33" t="s">
        <v>99</v>
      </c>
      <c r="AC42" s="33" t="s">
        <v>100</v>
      </c>
      <c r="AD42" s="33" t="s">
        <v>101</v>
      </c>
      <c r="AE42" s="33" t="s">
        <v>102</v>
      </c>
      <c r="AF42" s="33" t="s">
        <v>103</v>
      </c>
      <c r="AG42" s="33" t="s">
        <v>104</v>
      </c>
      <c r="AK42" s="10" t="s">
        <v>153</v>
      </c>
      <c r="AL42" s="10" t="s">
        <v>154</v>
      </c>
      <c r="AM42" s="10" t="s">
        <v>155</v>
      </c>
      <c r="AO42" s="1" t="s">
        <v>153</v>
      </c>
      <c r="AP42" s="1" t="s">
        <v>154</v>
      </c>
      <c r="AQ42" s="1" t="s">
        <v>155</v>
      </c>
    </row>
    <row r="43" spans="1:63" x14ac:dyDescent="0.25">
      <c r="A43" s="10" t="s">
        <v>78</v>
      </c>
      <c r="E43" s="54" t="str">
        <f>+E24</f>
        <v xml:space="preserve">N*P1 ≥ </v>
      </c>
      <c r="F43" s="59">
        <f>+F24</f>
        <v>5</v>
      </c>
      <c r="G43" s="18">
        <f>MAX(B45:J59)</f>
        <v>2.7856682751392432</v>
      </c>
      <c r="H43" s="10" t="str">
        <f>H24</f>
        <v>Max Min RRss</v>
      </c>
      <c r="J43" s="5" t="str">
        <f>J24</f>
        <v>V0b</v>
      </c>
      <c r="K43" s="5">
        <f t="shared" si="6"/>
        <v>43</v>
      </c>
      <c r="M43" s="10" t="s">
        <v>151</v>
      </c>
      <c r="R43" s="10">
        <v>60</v>
      </c>
      <c r="S43" s="10" t="s">
        <v>105</v>
      </c>
      <c r="T43" s="10" t="str">
        <f>T24</f>
        <v xml:space="preserve">N*P1 ≥ </v>
      </c>
      <c r="U43" s="31">
        <f>U24</f>
        <v>5</v>
      </c>
      <c r="W43" s="10">
        <f t="shared" si="24"/>
        <v>43</v>
      </c>
      <c r="X43" s="10" t="s">
        <v>95</v>
      </c>
      <c r="AC43" s="18">
        <f>MIN(Y45:AG59)</f>
        <v>-4.1993720637372167E-3</v>
      </c>
      <c r="AD43" s="10" t="s">
        <v>94</v>
      </c>
      <c r="AE43" s="18">
        <f>MAX(Y45:AG59)</f>
        <v>21.832118660391085</v>
      </c>
      <c r="AF43" s="10" t="s">
        <v>93</v>
      </c>
      <c r="AK43" s="10">
        <v>8</v>
      </c>
      <c r="AL43" s="10">
        <v>2.3859038243496773</v>
      </c>
      <c r="AM43" s="10">
        <v>1.7007784801586265</v>
      </c>
      <c r="AO43" s="18">
        <v>5</v>
      </c>
      <c r="AP43" s="4">
        <v>2.7530450811531626</v>
      </c>
      <c r="AQ43" s="4">
        <v>2.6874491540895589</v>
      </c>
      <c r="AR43" s="1" t="str">
        <f>IF(AO43=5,"T","F")</f>
        <v>T</v>
      </c>
    </row>
    <row r="44" spans="1:63" x14ac:dyDescent="0.25">
      <c r="A44" s="10" t="str">
        <f t="shared" ref="A44:H44" si="85">A25</f>
        <v>N \ P1</v>
      </c>
      <c r="B44" s="1">
        <f t="shared" si="85"/>
        <v>1E-3</v>
      </c>
      <c r="C44" s="1">
        <f t="shared" si="85"/>
        <v>2E-3</v>
      </c>
      <c r="D44" s="1">
        <f t="shared" si="85"/>
        <v>5.0000000000000001E-3</v>
      </c>
      <c r="E44" s="1">
        <f t="shared" si="85"/>
        <v>0.01</v>
      </c>
      <c r="F44" s="1">
        <f t="shared" si="85"/>
        <v>0.02</v>
      </c>
      <c r="G44" s="1">
        <f t="shared" si="85"/>
        <v>0.05</v>
      </c>
      <c r="H44" s="1">
        <f t="shared" si="85"/>
        <v>0.1</v>
      </c>
      <c r="I44" s="1">
        <f>I25</f>
        <v>0.2</v>
      </c>
      <c r="J44" s="1">
        <f>J25</f>
        <v>0.5</v>
      </c>
      <c r="K44" s="5">
        <f t="shared" ref="K44:K61" si="86">K43+1</f>
        <v>44</v>
      </c>
      <c r="M44" s="10" t="str">
        <f t="shared" ref="M44:V59" si="87">+M25</f>
        <v>N \ P1</v>
      </c>
      <c r="N44" s="1">
        <f t="shared" si="87"/>
        <v>1E-3</v>
      </c>
      <c r="O44" s="1">
        <f t="shared" si="87"/>
        <v>2E-3</v>
      </c>
      <c r="P44" s="1">
        <f t="shared" si="87"/>
        <v>5.0000000000000001E-3</v>
      </c>
      <c r="Q44" s="1">
        <f t="shared" si="87"/>
        <v>0.01</v>
      </c>
      <c r="R44" s="1">
        <f t="shared" si="87"/>
        <v>0.02</v>
      </c>
      <c r="S44" s="1">
        <f t="shared" si="87"/>
        <v>0.05</v>
      </c>
      <c r="T44" s="1">
        <f t="shared" si="87"/>
        <v>0.1</v>
      </c>
      <c r="U44" s="1">
        <f t="shared" si="87"/>
        <v>0.2</v>
      </c>
      <c r="V44" s="1">
        <f t="shared" si="87"/>
        <v>0.5</v>
      </c>
      <c r="W44" s="10">
        <f t="shared" si="24"/>
        <v>44</v>
      </c>
      <c r="X44" s="1" t="str">
        <f>M44</f>
        <v>N \ P1</v>
      </c>
      <c r="Y44" s="1">
        <f t="shared" ref="Y44" si="88">N44</f>
        <v>1E-3</v>
      </c>
      <c r="Z44" s="1">
        <f t="shared" ref="Z44" si="89">O44</f>
        <v>2E-3</v>
      </c>
      <c r="AA44" s="1">
        <f t="shared" ref="AA44" si="90">P44</f>
        <v>5.0000000000000001E-3</v>
      </c>
      <c r="AB44" s="1">
        <f t="shared" ref="AB44" si="91">Q44</f>
        <v>0.01</v>
      </c>
      <c r="AC44" s="1">
        <f t="shared" ref="AC44" si="92">R44</f>
        <v>0.02</v>
      </c>
      <c r="AD44" s="1">
        <f t="shared" ref="AD44" si="93">S44</f>
        <v>0.05</v>
      </c>
      <c r="AE44" s="1">
        <f t="shared" ref="AE44" si="94">T44</f>
        <v>0.1</v>
      </c>
      <c r="AF44" s="1">
        <f t="shared" ref="AF44" si="95">U44</f>
        <v>0.2</v>
      </c>
      <c r="AG44" s="1">
        <f t="shared" ref="AG44" si="96">V44</f>
        <v>0.5</v>
      </c>
      <c r="AK44" s="10">
        <v>18</v>
      </c>
      <c r="AL44" s="10">
        <v>1.923935882899785</v>
      </c>
      <c r="AM44" s="10">
        <v>1.4647482630692086</v>
      </c>
      <c r="AO44" s="93">
        <v>5</v>
      </c>
      <c r="AP44" s="4">
        <v>2.7530450811531626</v>
      </c>
      <c r="AQ44" s="90">
        <v>2.7753965721908398</v>
      </c>
      <c r="AR44" s="1" t="str">
        <f>IF(AO44=5,"T","F")</f>
        <v>T</v>
      </c>
    </row>
    <row r="45" spans="1:63" x14ac:dyDescent="0.25">
      <c r="A45" s="23">
        <f t="shared" ref="A45:A59" si="97">A26</f>
        <v>16</v>
      </c>
      <c r="B45" s="34" t="str">
        <f t="shared" ref="B45:J45" si="98">IF(B26="", "", EXP($I$3*SQRT((1-B$25)/(B$25*$A7)+(1-B$25*B26)/(B$25*B26*$A7))))</f>
        <v/>
      </c>
      <c r="C45" s="35" t="str">
        <f t="shared" si="98"/>
        <v/>
      </c>
      <c r="D45" s="35" t="str">
        <f t="shared" si="98"/>
        <v/>
      </c>
      <c r="E45" s="35" t="str">
        <f t="shared" si="98"/>
        <v/>
      </c>
      <c r="F45" s="35" t="str">
        <f t="shared" si="98"/>
        <v/>
      </c>
      <c r="G45" s="35" t="str">
        <f t="shared" si="98"/>
        <v/>
      </c>
      <c r="H45" s="35" t="str">
        <f t="shared" si="98"/>
        <v/>
      </c>
      <c r="I45" s="35" t="str">
        <f t="shared" si="98"/>
        <v/>
      </c>
      <c r="J45" s="36">
        <f t="shared" si="98"/>
        <v>1.7200718686302849</v>
      </c>
      <c r="K45" s="5">
        <f t="shared" si="86"/>
        <v>45</v>
      </c>
      <c r="M45" s="23">
        <f t="shared" si="87"/>
        <v>16</v>
      </c>
      <c r="N45" s="65" t="str">
        <f>IF(N26="","",1+($R$43*$I$3/(N$44*$M45)))</f>
        <v/>
      </c>
      <c r="O45" s="65" t="str">
        <f t="shared" ref="O45:V45" si="99">IF(O26="","",1+($R$43*$I$3/(O$44*$M45)))</f>
        <v/>
      </c>
      <c r="P45" s="65" t="str">
        <f t="shared" si="99"/>
        <v/>
      </c>
      <c r="Q45" s="65" t="str">
        <f t="shared" si="99"/>
        <v/>
      </c>
      <c r="R45" s="65" t="str">
        <f t="shared" si="99"/>
        <v/>
      </c>
      <c r="S45" s="65" t="str">
        <f t="shared" si="99"/>
        <v/>
      </c>
      <c r="T45" s="65" t="str">
        <f t="shared" si="99"/>
        <v/>
      </c>
      <c r="U45" s="65" t="str">
        <f t="shared" si="99"/>
        <v/>
      </c>
      <c r="V45" s="65">
        <f t="shared" si="99"/>
        <v>15.699729884050402</v>
      </c>
      <c r="W45" s="10">
        <f t="shared" si="24"/>
        <v>45</v>
      </c>
      <c r="X45" s="23">
        <f t="shared" ref="X45:X60" si="100">M45</f>
        <v>16</v>
      </c>
      <c r="Y45" s="4" t="str">
        <f>IF(N45="","",N45-N7)</f>
        <v/>
      </c>
      <c r="Z45" s="4" t="str">
        <f t="shared" ref="Z45:AG45" si="101">IF(O45="","",O45-O7)</f>
        <v/>
      </c>
      <c r="AA45" s="4" t="str">
        <f t="shared" si="101"/>
        <v/>
      </c>
      <c r="AB45" s="4" t="str">
        <f t="shared" si="101"/>
        <v/>
      </c>
      <c r="AC45" s="4" t="str">
        <f t="shared" si="101"/>
        <v/>
      </c>
      <c r="AD45" s="4" t="str">
        <f t="shared" si="101"/>
        <v/>
      </c>
      <c r="AE45" s="4" t="str">
        <f t="shared" si="101"/>
        <v/>
      </c>
      <c r="AF45" s="4" t="str">
        <f t="shared" si="101"/>
        <v/>
      </c>
      <c r="AG45" s="4">
        <f t="shared" si="101"/>
        <v>13.998951403891775</v>
      </c>
      <c r="AK45" s="10">
        <v>32</v>
      </c>
      <c r="AL45" s="10">
        <v>1.6929519121748386</v>
      </c>
      <c r="AM45" s="10">
        <v>1.3477585108841024</v>
      </c>
      <c r="AO45" s="18">
        <v>5.12</v>
      </c>
      <c r="AP45" s="4">
        <v>2.7323797804370971</v>
      </c>
      <c r="AQ45" s="4">
        <v>2.7138220339844525</v>
      </c>
      <c r="AR45" s="1" t="str">
        <f>IF(AO45=5,"T","F")</f>
        <v>F</v>
      </c>
    </row>
    <row r="46" spans="1:63" x14ac:dyDescent="0.25">
      <c r="A46" s="23">
        <f t="shared" si="97"/>
        <v>36</v>
      </c>
      <c r="B46" s="37" t="str">
        <f t="shared" ref="B46:J46" si="102">IF(B27="", "", EXP($I$3*SQRT((1-B$25)/(B$25*$A8)+(1-B$25*B27)/(B$25*B27*$A8))))</f>
        <v/>
      </c>
      <c r="C46" s="38" t="str">
        <f t="shared" si="102"/>
        <v/>
      </c>
      <c r="D46" s="38" t="str">
        <f t="shared" si="102"/>
        <v/>
      </c>
      <c r="E46" s="38" t="str">
        <f t="shared" si="102"/>
        <v/>
      </c>
      <c r="F46" s="38" t="str">
        <f t="shared" si="102"/>
        <v/>
      </c>
      <c r="G46" s="38" t="str">
        <f t="shared" si="102"/>
        <v/>
      </c>
      <c r="H46" s="38" t="str">
        <f t="shared" si="102"/>
        <v/>
      </c>
      <c r="I46" s="38">
        <f t="shared" si="102"/>
        <v>2.1380113517231072</v>
      </c>
      <c r="J46" s="39">
        <f t="shared" si="102"/>
        <v>1.4689970072270395</v>
      </c>
      <c r="K46" s="5">
        <f t="shared" si="86"/>
        <v>46</v>
      </c>
      <c r="M46" s="23">
        <f t="shared" si="87"/>
        <v>36</v>
      </c>
      <c r="N46" s="65" t="str">
        <f t="shared" ref="N46:V46" si="103">IF(N27="","",1+($R$43*$I$3/(N$44*$M46)))</f>
        <v/>
      </c>
      <c r="O46" s="65" t="str">
        <f t="shared" si="103"/>
        <v/>
      </c>
      <c r="P46" s="65" t="str">
        <f t="shared" si="103"/>
        <v/>
      </c>
      <c r="Q46" s="65" t="str">
        <f t="shared" si="103"/>
        <v/>
      </c>
      <c r="R46" s="65" t="str">
        <f t="shared" si="103"/>
        <v/>
      </c>
      <c r="S46" s="65" t="str">
        <f t="shared" si="103"/>
        <v/>
      </c>
      <c r="T46" s="65" t="str">
        <f t="shared" si="103"/>
        <v/>
      </c>
      <c r="U46" s="65">
        <f t="shared" si="103"/>
        <v>17.333033204500445</v>
      </c>
      <c r="V46" s="65">
        <f t="shared" si="103"/>
        <v>7.5332132818001787</v>
      </c>
      <c r="W46" s="10">
        <f t="shared" si="24"/>
        <v>46</v>
      </c>
      <c r="X46" s="23">
        <f t="shared" si="100"/>
        <v>36</v>
      </c>
      <c r="Y46" s="4" t="str">
        <f t="shared" ref="Y46:Y59" si="104">IF(N46="","",N46-N8)</f>
        <v/>
      </c>
      <c r="Z46" s="4" t="str">
        <f t="shared" ref="Z46:Z59" si="105">IF(O46="","",O46-O8)</f>
        <v/>
      </c>
      <c r="AA46" s="4" t="str">
        <f t="shared" ref="AA46:AA59" si="106">IF(P46="","",P46-P8)</f>
        <v/>
      </c>
      <c r="AB46" s="4" t="str">
        <f t="shared" ref="AB46:AB59" si="107">IF(Q46="","",Q46-Q8)</f>
        <v/>
      </c>
      <c r="AC46" s="4" t="str">
        <f t="shared" ref="AC46:AC59" si="108">IF(R46="","",R46-R8)</f>
        <v/>
      </c>
      <c r="AD46" s="4" t="str">
        <f t="shared" ref="AD46:AD59" si="109">IF(S46="","",S46-S8)</f>
        <v/>
      </c>
      <c r="AE46" s="4" t="str">
        <f t="shared" ref="AE46:AE59" si="110">IF(T46="","",T46-T8)</f>
        <v/>
      </c>
      <c r="AF46" s="4">
        <f t="shared" ref="AF46:AF59" si="111">IF(U46="","",U46-U8)</f>
        <v>15.204420065036803</v>
      </c>
      <c r="AG46" s="4">
        <f t="shared" ref="AG46:AG59" si="112">IF(V46="","",V46-V8)</f>
        <v>6.0684650187309703</v>
      </c>
      <c r="AK46" s="10">
        <v>50</v>
      </c>
      <c r="AL46" s="10">
        <v>1.554361529739871</v>
      </c>
      <c r="AM46" s="10">
        <v>1.277874530527102</v>
      </c>
      <c r="AO46" s="18">
        <v>6.25</v>
      </c>
      <c r="AP46" s="4">
        <v>2.5679711876320432</v>
      </c>
      <c r="AQ46" s="4">
        <v>2.5103363611767437</v>
      </c>
    </row>
    <row r="47" spans="1:63" x14ac:dyDescent="0.25">
      <c r="A47" s="23">
        <f t="shared" si="97"/>
        <v>64</v>
      </c>
      <c r="B47" s="37" t="str">
        <f t="shared" ref="B47:J47" si="113">IF(B28="", "", EXP($I$3*SQRT((1-B$25)/(B$25*$A9)+(1-B$25*B28)/(B$25*B28*$A9))))</f>
        <v/>
      </c>
      <c r="C47" s="38" t="str">
        <f t="shared" si="113"/>
        <v/>
      </c>
      <c r="D47" s="38" t="str">
        <f t="shared" si="113"/>
        <v/>
      </c>
      <c r="E47" s="38" t="str">
        <f t="shared" si="113"/>
        <v/>
      </c>
      <c r="F47" s="38" t="str">
        <f t="shared" si="113"/>
        <v/>
      </c>
      <c r="G47" s="38" t="str">
        <f t="shared" si="113"/>
        <v/>
      </c>
      <c r="H47" s="38">
        <f t="shared" si="113"/>
        <v>2.3655673342130252</v>
      </c>
      <c r="I47" s="38">
        <f t="shared" si="113"/>
        <v>1.8053839611393976</v>
      </c>
      <c r="J47" s="39">
        <f t="shared" si="113"/>
        <v>1.3491907957140559</v>
      </c>
      <c r="K47" s="5">
        <f t="shared" si="86"/>
        <v>47</v>
      </c>
      <c r="M47" s="23">
        <f t="shared" si="87"/>
        <v>64</v>
      </c>
      <c r="N47" s="65" t="str">
        <f t="shared" ref="N47:V47" si="114">IF(N28="","",1+($R$43*$I$3/(N$44*$M47)))</f>
        <v/>
      </c>
      <c r="O47" s="65" t="str">
        <f t="shared" si="114"/>
        <v/>
      </c>
      <c r="P47" s="65" t="str">
        <f t="shared" si="114"/>
        <v/>
      </c>
      <c r="Q47" s="65" t="str">
        <f t="shared" si="114"/>
        <v/>
      </c>
      <c r="R47" s="65" t="str">
        <f t="shared" si="114"/>
        <v/>
      </c>
      <c r="S47" s="65" t="str">
        <f t="shared" si="114"/>
        <v/>
      </c>
      <c r="T47" s="65">
        <f t="shared" si="114"/>
        <v>19.374662355063002</v>
      </c>
      <c r="U47" s="65">
        <f t="shared" si="114"/>
        <v>10.187331177531501</v>
      </c>
      <c r="V47" s="65">
        <f t="shared" si="114"/>
        <v>4.6749324710126006</v>
      </c>
      <c r="W47" s="10">
        <f t="shared" si="24"/>
        <v>47</v>
      </c>
      <c r="X47" s="23">
        <f t="shared" si="100"/>
        <v>64</v>
      </c>
      <c r="Y47" s="4" t="str">
        <f t="shared" si="104"/>
        <v/>
      </c>
      <c r="Z47" s="4" t="str">
        <f t="shared" si="105"/>
        <v/>
      </c>
      <c r="AA47" s="4" t="str">
        <f t="shared" si="106"/>
        <v/>
      </c>
      <c r="AB47" s="4" t="str">
        <f t="shared" si="107"/>
        <v/>
      </c>
      <c r="AC47" s="4" t="str">
        <f t="shared" si="108"/>
        <v/>
      </c>
      <c r="AD47" s="4" t="str">
        <f t="shared" si="109"/>
        <v/>
      </c>
      <c r="AE47" s="4">
        <f t="shared" si="110"/>
        <v>17.018022969902908</v>
      </c>
      <c r="AF47" s="4">
        <f t="shared" si="111"/>
        <v>8.3855915088148176</v>
      </c>
      <c r="AG47" s="4">
        <f t="shared" si="112"/>
        <v>3.3271739601284982</v>
      </c>
      <c r="AK47" s="10">
        <v>72</v>
      </c>
      <c r="AL47" s="10">
        <v>1.4619679414498925</v>
      </c>
      <c r="AM47" s="10">
        <v>1.2314008537983794</v>
      </c>
      <c r="AO47" s="18">
        <v>6.4</v>
      </c>
      <c r="AP47" s="4">
        <v>2.5494875807614035</v>
      </c>
      <c r="AQ47" s="4">
        <v>2.3566393851600953</v>
      </c>
    </row>
    <row r="48" spans="1:63" x14ac:dyDescent="0.25">
      <c r="A48" s="23">
        <f t="shared" si="97"/>
        <v>100</v>
      </c>
      <c r="B48" s="37" t="str">
        <f t="shared" ref="B48:J48" si="115">IF(B29="", "", EXP($I$3*SQRT((1-B$25)/(B$25*$A10)+(1-B$25*B29)/(B$25*B29*$A10))))</f>
        <v/>
      </c>
      <c r="C48" s="38" t="str">
        <f t="shared" si="115"/>
        <v/>
      </c>
      <c r="D48" s="38" t="str">
        <f t="shared" si="115"/>
        <v/>
      </c>
      <c r="E48" s="38" t="str">
        <f t="shared" si="115"/>
        <v/>
      </c>
      <c r="F48" s="38" t="str">
        <f t="shared" si="115"/>
        <v/>
      </c>
      <c r="G48" s="38">
        <f t="shared" si="115"/>
        <v>2.698888754150194</v>
      </c>
      <c r="H48" s="38">
        <f t="shared" si="115"/>
        <v>2.0284156813275351</v>
      </c>
      <c r="I48" s="38">
        <f t="shared" si="115"/>
        <v>1.6232906233631137</v>
      </c>
      <c r="J48" s="39">
        <f t="shared" si="115"/>
        <v>1.2784857898116244</v>
      </c>
      <c r="K48" s="5">
        <f t="shared" si="86"/>
        <v>48</v>
      </c>
      <c r="M48" s="23">
        <f t="shared" si="87"/>
        <v>100</v>
      </c>
      <c r="N48" s="65" t="str">
        <f t="shared" ref="N48:V48" si="116">IF(N29="","",1+($R$43*$I$3/(N$44*$M48)))</f>
        <v/>
      </c>
      <c r="O48" s="65" t="str">
        <f t="shared" si="116"/>
        <v/>
      </c>
      <c r="P48" s="65" t="str">
        <f t="shared" si="116"/>
        <v/>
      </c>
      <c r="Q48" s="65" t="str">
        <f t="shared" si="116"/>
        <v/>
      </c>
      <c r="R48" s="65" t="str">
        <f t="shared" si="116"/>
        <v/>
      </c>
      <c r="S48" s="65">
        <f t="shared" si="116"/>
        <v>24.519567814480645</v>
      </c>
      <c r="T48" s="65">
        <f t="shared" si="116"/>
        <v>12.759783907240323</v>
      </c>
      <c r="U48" s="65">
        <f t="shared" si="116"/>
        <v>6.8798919536201613</v>
      </c>
      <c r="V48" s="65">
        <f t="shared" si="116"/>
        <v>3.3519567814480644</v>
      </c>
      <c r="W48" s="10">
        <f t="shared" si="24"/>
        <v>48</v>
      </c>
      <c r="X48" s="23">
        <f t="shared" si="100"/>
        <v>100</v>
      </c>
      <c r="Y48" s="4" t="str">
        <f t="shared" si="104"/>
        <v/>
      </c>
      <c r="Z48" s="4" t="str">
        <f t="shared" si="105"/>
        <v/>
      </c>
      <c r="AA48" s="4" t="str">
        <f t="shared" si="106"/>
        <v/>
      </c>
      <c r="AB48" s="4" t="str">
        <f t="shared" si="107"/>
        <v/>
      </c>
      <c r="AC48" s="4" t="str">
        <f t="shared" si="108"/>
        <v/>
      </c>
      <c r="AD48" s="4">
        <f t="shared" si="109"/>
        <v>21.832118660391085</v>
      </c>
      <c r="AE48" s="4">
        <f t="shared" si="110"/>
        <v>10.735819652915749</v>
      </c>
      <c r="AF48" s="4">
        <f t="shared" si="111"/>
        <v>5.2582922303371067</v>
      </c>
      <c r="AG48" s="4">
        <f t="shared" si="112"/>
        <v>2.0740822509209624</v>
      </c>
      <c r="AK48" s="10">
        <v>98</v>
      </c>
      <c r="AL48" s="10">
        <v>1.3959725212427649</v>
      </c>
      <c r="AM48" s="10">
        <v>1.1982561109511343</v>
      </c>
      <c r="AO48" s="18">
        <v>6.48</v>
      </c>
      <c r="AP48" s="4">
        <v>2.5398931381663084</v>
      </c>
      <c r="AQ48" s="4">
        <v>2.4597382064363642</v>
      </c>
    </row>
    <row r="49" spans="1:43" x14ac:dyDescent="0.25">
      <c r="A49" s="23">
        <f t="shared" si="97"/>
        <v>144</v>
      </c>
      <c r="B49" s="37" t="str">
        <f t="shared" ref="B49:J49" si="117">IF(B30="", "", EXP($I$3*SQRT((1-B$25)/(B$25*$A11)+(1-B$25*B30)/(B$25*B30*$A11))))</f>
        <v/>
      </c>
      <c r="C49" s="38" t="str">
        <f t="shared" si="117"/>
        <v/>
      </c>
      <c r="D49" s="38" t="str">
        <f t="shared" si="117"/>
        <v/>
      </c>
      <c r="E49" s="38" t="str">
        <f t="shared" si="117"/>
        <v/>
      </c>
      <c r="F49" s="38" t="str">
        <f t="shared" si="117"/>
        <v/>
      </c>
      <c r="G49" s="38">
        <f t="shared" si="117"/>
        <v>2.3290166171363236</v>
      </c>
      <c r="H49" s="38">
        <f t="shared" si="117"/>
        <v>1.8243215154275165</v>
      </c>
      <c r="I49" s="38">
        <f t="shared" si="117"/>
        <v>1.5084514067670285</v>
      </c>
      <c r="J49" s="39">
        <f t="shared" si="117"/>
        <v>1.2317042124588307</v>
      </c>
      <c r="K49" s="5">
        <f t="shared" si="86"/>
        <v>49</v>
      </c>
      <c r="M49" s="23">
        <f t="shared" si="87"/>
        <v>144</v>
      </c>
      <c r="N49" s="65" t="str">
        <f t="shared" ref="N49:V49" si="118">IF(N30="","",1+($R$43*$I$3/(N$44*$M49)))</f>
        <v/>
      </c>
      <c r="O49" s="65" t="str">
        <f t="shared" si="118"/>
        <v/>
      </c>
      <c r="P49" s="65" t="str">
        <f t="shared" si="118"/>
        <v/>
      </c>
      <c r="Q49" s="65" t="str">
        <f t="shared" si="118"/>
        <v/>
      </c>
      <c r="R49" s="65" t="str">
        <f t="shared" si="118"/>
        <v/>
      </c>
      <c r="S49" s="65">
        <f t="shared" si="118"/>
        <v>17.333033204500445</v>
      </c>
      <c r="T49" s="65">
        <f t="shared" si="118"/>
        <v>9.1665166022502227</v>
      </c>
      <c r="U49" s="65">
        <f t="shared" si="118"/>
        <v>5.0832583011251113</v>
      </c>
      <c r="V49" s="65">
        <f t="shared" si="118"/>
        <v>2.6333033204500449</v>
      </c>
      <c r="W49" s="10">
        <f t="shared" si="24"/>
        <v>49</v>
      </c>
      <c r="X49" s="23">
        <f t="shared" si="100"/>
        <v>144</v>
      </c>
      <c r="Y49" s="4" t="str">
        <f t="shared" si="104"/>
        <v/>
      </c>
      <c r="Z49" s="4" t="str">
        <f t="shared" si="105"/>
        <v/>
      </c>
      <c r="AA49" s="4" t="str">
        <f t="shared" si="106"/>
        <v/>
      </c>
      <c r="AB49" s="4" t="str">
        <f t="shared" si="107"/>
        <v/>
      </c>
      <c r="AC49" s="4" t="str">
        <f t="shared" si="108"/>
        <v/>
      </c>
      <c r="AD49" s="4">
        <f t="shared" si="109"/>
        <v>15.010722373623063</v>
      </c>
      <c r="AE49" s="4">
        <f t="shared" si="110"/>
        <v>7.3446461910954</v>
      </c>
      <c r="AF49" s="4">
        <f t="shared" si="111"/>
        <v>3.575694311198319</v>
      </c>
      <c r="AG49" s="4">
        <f t="shared" si="112"/>
        <v>1.4019024666516655</v>
      </c>
      <c r="AK49" s="10">
        <v>128</v>
      </c>
      <c r="AL49" s="10">
        <v>1.3464759560874193</v>
      </c>
      <c r="AM49" s="10">
        <v>1.173422599726097</v>
      </c>
      <c r="AO49" s="18">
        <v>7.2</v>
      </c>
      <c r="AP49" s="4">
        <v>2.4608709009609688</v>
      </c>
      <c r="AQ49" s="4">
        <v>2.1286131394636429</v>
      </c>
    </row>
    <row r="50" spans="1:43" x14ac:dyDescent="0.25">
      <c r="A50" s="23">
        <f t="shared" si="97"/>
        <v>196</v>
      </c>
      <c r="B50" s="37" t="str">
        <f t="shared" ref="B50:J50" si="119">IF(B31="", "", EXP($I$3*SQRT((1-B$25)/(B$25*$A12)+(1-B$25*B31)/(B$25*B31*$A12))))</f>
        <v/>
      </c>
      <c r="C50" s="38" t="str">
        <f t="shared" si="119"/>
        <v/>
      </c>
      <c r="D50" s="38" t="str">
        <f t="shared" si="119"/>
        <v/>
      </c>
      <c r="E50" s="38" t="str">
        <f t="shared" si="119"/>
        <v/>
      </c>
      <c r="F50" s="38" t="str">
        <f t="shared" si="119"/>
        <v/>
      </c>
      <c r="G50" s="38">
        <f t="shared" si="119"/>
        <v>2.0902940326202448</v>
      </c>
      <c r="H50" s="38">
        <f t="shared" si="119"/>
        <v>1.6877192574055948</v>
      </c>
      <c r="I50" s="38">
        <f t="shared" si="119"/>
        <v>1.4294059416801224</v>
      </c>
      <c r="J50" s="39">
        <f t="shared" si="119"/>
        <v>1.1984233537044038</v>
      </c>
      <c r="K50" s="5">
        <f t="shared" si="86"/>
        <v>50</v>
      </c>
      <c r="M50" s="23">
        <f t="shared" si="87"/>
        <v>196</v>
      </c>
      <c r="N50" s="65" t="str">
        <f t="shared" ref="N50:V50" si="120">IF(N31="","",1+($R$43*$I$3/(N$44*$M50)))</f>
        <v/>
      </c>
      <c r="O50" s="65" t="str">
        <f t="shared" si="120"/>
        <v/>
      </c>
      <c r="P50" s="65" t="str">
        <f t="shared" si="120"/>
        <v/>
      </c>
      <c r="Q50" s="65" t="str">
        <f t="shared" si="120"/>
        <v/>
      </c>
      <c r="R50" s="65" t="str">
        <f t="shared" si="120"/>
        <v/>
      </c>
      <c r="S50" s="65">
        <f t="shared" si="120"/>
        <v>12.999779497184001</v>
      </c>
      <c r="T50" s="65">
        <f t="shared" si="120"/>
        <v>6.9998897485920004</v>
      </c>
      <c r="U50" s="65">
        <f t="shared" si="120"/>
        <v>3.9999448742960002</v>
      </c>
      <c r="V50" s="65">
        <f t="shared" si="120"/>
        <v>2.1999779497184004</v>
      </c>
      <c r="W50" s="10">
        <f t="shared" si="24"/>
        <v>50</v>
      </c>
      <c r="X50" s="23">
        <f t="shared" si="100"/>
        <v>196</v>
      </c>
      <c r="Y50" s="4" t="str">
        <f t="shared" si="104"/>
        <v/>
      </c>
      <c r="Z50" s="4" t="str">
        <f t="shared" si="105"/>
        <v/>
      </c>
      <c r="AA50" s="4" t="str">
        <f t="shared" si="106"/>
        <v/>
      </c>
      <c r="AB50" s="4" t="str">
        <f t="shared" si="107"/>
        <v/>
      </c>
      <c r="AC50" s="4" t="str">
        <f t="shared" si="108"/>
        <v/>
      </c>
      <c r="AD50" s="4">
        <f t="shared" si="109"/>
        <v>10.913650487665372</v>
      </c>
      <c r="AE50" s="4">
        <f t="shared" si="110"/>
        <v>5.3136264798573869</v>
      </c>
      <c r="AF50" s="4">
        <f t="shared" si="111"/>
        <v>2.5710482035354816</v>
      </c>
      <c r="AG50" s="4">
        <f t="shared" si="112"/>
        <v>1.0017218387672662</v>
      </c>
      <c r="AK50" s="10">
        <v>162</v>
      </c>
      <c r="AL50" s="10">
        <v>1.3079786276332617</v>
      </c>
      <c r="AM50" s="10">
        <v>1.1541211529291009</v>
      </c>
      <c r="AO50" s="18">
        <v>7.2</v>
      </c>
      <c r="AP50" s="4">
        <v>2.4608709009609688</v>
      </c>
      <c r="AQ50" s="4">
        <v>2.3223108308773823</v>
      </c>
    </row>
    <row r="51" spans="1:43" x14ac:dyDescent="0.25">
      <c r="A51" s="23">
        <f t="shared" si="97"/>
        <v>256</v>
      </c>
      <c r="B51" s="37" t="str">
        <f t="shared" ref="B51:J51" si="121">IF(B32="", "", EXP($I$3*SQRT((1-B$25)/(B$25*$A13)+(1-B$25*B32)/(B$25*B32*$A13))))</f>
        <v/>
      </c>
      <c r="C51" s="38" t="str">
        <f t="shared" si="121"/>
        <v/>
      </c>
      <c r="D51" s="38" t="str">
        <f t="shared" si="121"/>
        <v/>
      </c>
      <c r="E51" s="38" t="str">
        <f t="shared" si="121"/>
        <v/>
      </c>
      <c r="F51" s="38">
        <f t="shared" si="121"/>
        <v>2.7241617421342443</v>
      </c>
      <c r="G51" s="38">
        <f t="shared" si="121"/>
        <v>1.9238712911417855</v>
      </c>
      <c r="H51" s="38">
        <f t="shared" si="121"/>
        <v>1.5899389578495076</v>
      </c>
      <c r="I51" s="38">
        <f t="shared" si="121"/>
        <v>1.3716657380580402</v>
      </c>
      <c r="J51" s="39">
        <f t="shared" si="121"/>
        <v>1.173522236173711</v>
      </c>
      <c r="K51" s="5">
        <f t="shared" si="86"/>
        <v>51</v>
      </c>
      <c r="M51" s="23">
        <f t="shared" si="87"/>
        <v>256</v>
      </c>
      <c r="N51" s="65" t="str">
        <f t="shared" ref="N51:V51" si="122">IF(N32="","",1+($R$43*$I$3/(N$44*$M51)))</f>
        <v/>
      </c>
      <c r="O51" s="65" t="str">
        <f t="shared" si="122"/>
        <v/>
      </c>
      <c r="P51" s="65" t="str">
        <f t="shared" si="122"/>
        <v/>
      </c>
      <c r="Q51" s="65" t="str">
        <f t="shared" si="122"/>
        <v/>
      </c>
      <c r="R51" s="65">
        <f t="shared" si="122"/>
        <v>23.968327943828754</v>
      </c>
      <c r="S51" s="65">
        <f t="shared" si="122"/>
        <v>10.187331177531501</v>
      </c>
      <c r="T51" s="65">
        <f t="shared" si="122"/>
        <v>5.5936655887657505</v>
      </c>
      <c r="U51" s="65">
        <f t="shared" si="122"/>
        <v>3.2968327943828752</v>
      </c>
      <c r="V51" s="65">
        <f t="shared" si="122"/>
        <v>1.9187331177531501</v>
      </c>
      <c r="W51" s="10">
        <f t="shared" si="24"/>
        <v>51</v>
      </c>
      <c r="X51" s="23">
        <f t="shared" si="100"/>
        <v>256</v>
      </c>
      <c r="Y51" s="4" t="str">
        <f t="shared" si="104"/>
        <v/>
      </c>
      <c r="Z51" s="4" t="str">
        <f t="shared" si="105"/>
        <v/>
      </c>
      <c r="AA51" s="4" t="str">
        <f t="shared" si="106"/>
        <v/>
      </c>
      <c r="AB51" s="4" t="str">
        <f t="shared" si="107"/>
        <v/>
      </c>
      <c r="AC51" s="4">
        <f t="shared" si="108"/>
        <v>21.254505909844301</v>
      </c>
      <c r="AD51" s="4">
        <f t="shared" si="109"/>
        <v>8.2661744291264103</v>
      </c>
      <c r="AE51" s="4">
        <f t="shared" si="110"/>
        <v>4.0046442864717307</v>
      </c>
      <c r="AF51" s="4">
        <f t="shared" si="111"/>
        <v>1.925479781448969</v>
      </c>
      <c r="AG51" s="4">
        <f t="shared" si="112"/>
        <v>0.74531051802705317</v>
      </c>
      <c r="AK51" s="10">
        <v>200</v>
      </c>
      <c r="AL51" s="10">
        <v>1.2771807648699354</v>
      </c>
      <c r="AM51" s="10">
        <v>1.138687797014718</v>
      </c>
      <c r="AO51" s="18">
        <v>8</v>
      </c>
      <c r="AP51" s="4">
        <v>2.3859038243496773</v>
      </c>
      <c r="AQ51" s="4">
        <v>1.7007784801586265</v>
      </c>
    </row>
    <row r="52" spans="1:43" x14ac:dyDescent="0.25">
      <c r="A52" s="23">
        <f t="shared" si="97"/>
        <v>324</v>
      </c>
      <c r="B52" s="37" t="str">
        <f t="shared" ref="B52:J52" si="123">IF(B33="", "", EXP($I$3*SQRT((1-B$25)/(B$25*$A14)+(1-B$25*B33)/(B$25*B33*$A14))))</f>
        <v/>
      </c>
      <c r="C52" s="38" t="str">
        <f t="shared" si="123"/>
        <v/>
      </c>
      <c r="D52" s="38" t="str">
        <f t="shared" si="123"/>
        <v/>
      </c>
      <c r="E52" s="38" t="str">
        <f t="shared" si="123"/>
        <v/>
      </c>
      <c r="F52" s="38">
        <f t="shared" si="123"/>
        <v>2.4671090042218986</v>
      </c>
      <c r="G52" s="38">
        <f t="shared" si="123"/>
        <v>1.8013685872836198</v>
      </c>
      <c r="H52" s="38">
        <f t="shared" si="123"/>
        <v>1.516506542880055</v>
      </c>
      <c r="I52" s="38">
        <f t="shared" si="123"/>
        <v>1.3276335509533765</v>
      </c>
      <c r="J52" s="39">
        <f t="shared" si="123"/>
        <v>1.1541841579661525</v>
      </c>
      <c r="K52" s="5">
        <f t="shared" si="86"/>
        <v>52</v>
      </c>
      <c r="M52" s="23">
        <f t="shared" si="87"/>
        <v>324</v>
      </c>
      <c r="N52" s="65" t="str">
        <f t="shared" ref="N52:V52" si="124">IF(N33="","",1+($R$43*$I$3/(N$44*$M52)))</f>
        <v/>
      </c>
      <c r="O52" s="65" t="str">
        <f t="shared" si="124"/>
        <v/>
      </c>
      <c r="P52" s="65" t="str">
        <f t="shared" si="124"/>
        <v/>
      </c>
      <c r="Q52" s="65" t="str">
        <f t="shared" si="124"/>
        <v/>
      </c>
      <c r="R52" s="65">
        <f t="shared" si="124"/>
        <v>19.147814671667163</v>
      </c>
      <c r="S52" s="65">
        <f t="shared" si="124"/>
        <v>8.2591258686668656</v>
      </c>
      <c r="T52" s="65">
        <f t="shared" si="124"/>
        <v>4.6295629343334328</v>
      </c>
      <c r="U52" s="65">
        <f t="shared" si="124"/>
        <v>2.8147814671667164</v>
      </c>
      <c r="V52" s="65">
        <f t="shared" si="124"/>
        <v>1.7259125868666865</v>
      </c>
      <c r="W52" s="10">
        <f t="shared" si="24"/>
        <v>52</v>
      </c>
      <c r="X52" s="23">
        <f t="shared" si="100"/>
        <v>324</v>
      </c>
      <c r="Y52" s="4" t="str">
        <f t="shared" si="104"/>
        <v/>
      </c>
      <c r="Z52" s="4" t="str">
        <f t="shared" si="105"/>
        <v/>
      </c>
      <c r="AA52" s="4" t="str">
        <f t="shared" si="106"/>
        <v/>
      </c>
      <c r="AB52" s="4" t="str">
        <f t="shared" si="107"/>
        <v/>
      </c>
      <c r="AC52" s="4">
        <f t="shared" si="108"/>
        <v>16.6880764652308</v>
      </c>
      <c r="AD52" s="4">
        <f t="shared" si="109"/>
        <v>6.4595987065981024</v>
      </c>
      <c r="AE52" s="4">
        <f t="shared" si="110"/>
        <v>3.1136628035178053</v>
      </c>
      <c r="AF52" s="4">
        <f t="shared" si="111"/>
        <v>1.4873504017277122</v>
      </c>
      <c r="AG52" s="4">
        <f t="shared" si="112"/>
        <v>0.57179143393758558</v>
      </c>
      <c r="AK52" s="10">
        <v>312.5</v>
      </c>
      <c r="AL52" s="10">
        <v>1.2217446118959483</v>
      </c>
      <c r="AM52" s="10">
        <v>1.1109234284844116</v>
      </c>
      <c r="AO52" s="18">
        <v>8</v>
      </c>
      <c r="AP52" s="4">
        <v>2.3859038243496773</v>
      </c>
      <c r="AQ52" s="4">
        <v>2.2705650780395863</v>
      </c>
    </row>
    <row r="53" spans="1:43" x14ac:dyDescent="0.25">
      <c r="A53" s="23">
        <f t="shared" si="97"/>
        <v>400</v>
      </c>
      <c r="B53" s="37" t="str">
        <f t="shared" ref="B53:J53" si="125">IF(B34="", "", EXP($I$3*SQRT((1-B$25)/(B$25*$A15)+(1-B$25*B34)/(B$25*B34*$A15))))</f>
        <v/>
      </c>
      <c r="C53" s="38" t="str">
        <f t="shared" si="125"/>
        <v/>
      </c>
      <c r="D53" s="38" t="str">
        <f t="shared" si="125"/>
        <v/>
      </c>
      <c r="E53" s="38" t="str">
        <f t="shared" si="125"/>
        <v/>
      </c>
      <c r="F53" s="38">
        <f t="shared" si="125"/>
        <v>2.2759447037916711</v>
      </c>
      <c r="G53" s="38">
        <f t="shared" si="125"/>
        <v>1.7074846534591495</v>
      </c>
      <c r="H53" s="38">
        <f t="shared" si="125"/>
        <v>1.4593392289585432</v>
      </c>
      <c r="I53" s="38">
        <f t="shared" si="125"/>
        <v>1.2929418643267878</v>
      </c>
      <c r="J53" s="39">
        <f t="shared" si="125"/>
        <v>1.1387295663552022</v>
      </c>
      <c r="K53" s="5">
        <f t="shared" si="86"/>
        <v>53</v>
      </c>
      <c r="M53" s="23">
        <f t="shared" si="87"/>
        <v>400</v>
      </c>
      <c r="N53" s="65" t="str">
        <f t="shared" ref="N53:V53" si="126">IF(N34="","",1+($R$43*$I$3/(N$44*$M53)))</f>
        <v/>
      </c>
      <c r="O53" s="65" t="str">
        <f t="shared" si="126"/>
        <v/>
      </c>
      <c r="P53" s="65" t="str">
        <f t="shared" si="126"/>
        <v/>
      </c>
      <c r="Q53" s="65" t="str">
        <f t="shared" si="126"/>
        <v/>
      </c>
      <c r="R53" s="65">
        <f t="shared" si="126"/>
        <v>15.699729884050402</v>
      </c>
      <c r="S53" s="65">
        <f t="shared" si="126"/>
        <v>6.8798919536201613</v>
      </c>
      <c r="T53" s="65">
        <f t="shared" si="126"/>
        <v>3.9399459768100806</v>
      </c>
      <c r="U53" s="65">
        <f t="shared" si="126"/>
        <v>2.4699729884050403</v>
      </c>
      <c r="V53" s="65">
        <f t="shared" si="126"/>
        <v>1.5879891953620162</v>
      </c>
      <c r="W53" s="10">
        <f t="shared" si="24"/>
        <v>53</v>
      </c>
      <c r="X53" s="23">
        <f t="shared" si="100"/>
        <v>400</v>
      </c>
      <c r="Y53" s="4" t="str">
        <f t="shared" si="104"/>
        <v/>
      </c>
      <c r="Z53" s="4" t="str">
        <f t="shared" si="105"/>
        <v/>
      </c>
      <c r="AA53" s="4" t="str">
        <f t="shared" si="106"/>
        <v/>
      </c>
      <c r="AB53" s="4" t="str">
        <f t="shared" si="107"/>
        <v/>
      </c>
      <c r="AC53" s="4">
        <f t="shared" si="108"/>
        <v>13.429164806010816</v>
      </c>
      <c r="AD53" s="4">
        <f t="shared" si="109"/>
        <v>5.1736990229408448</v>
      </c>
      <c r="AE53" s="4">
        <f t="shared" si="110"/>
        <v>2.4810232726763513</v>
      </c>
      <c r="AF53" s="4">
        <f t="shared" si="111"/>
        <v>1.1771679389984695</v>
      </c>
      <c r="AG53" s="4">
        <f t="shared" si="112"/>
        <v>0.44930139834729821</v>
      </c>
      <c r="AK53" s="10">
        <v>450</v>
      </c>
      <c r="AL53" s="10">
        <v>1.1847871765799569</v>
      </c>
      <c r="AM53" s="10">
        <v>1.092423673632648</v>
      </c>
      <c r="AO53" s="18">
        <v>8</v>
      </c>
      <c r="AP53" s="4">
        <v>2.3859038243496773</v>
      </c>
      <c r="AQ53" s="4">
        <v>2.288234056317008</v>
      </c>
    </row>
    <row r="54" spans="1:43" x14ac:dyDescent="0.25">
      <c r="A54" s="23">
        <f t="shared" si="97"/>
        <v>625</v>
      </c>
      <c r="B54" s="37" t="str">
        <f t="shared" ref="B54:J54" si="127">IF(B35="", "", EXP($I$3*SQRT((1-B$25)/(B$25*$A16)+(1-B$25*B35)/(B$25*B35*$A16))))</f>
        <v/>
      </c>
      <c r="C54" s="38" t="str">
        <f t="shared" si="127"/>
        <v/>
      </c>
      <c r="D54" s="38" t="str">
        <f t="shared" si="127"/>
        <v/>
      </c>
      <c r="E54" s="38">
        <f t="shared" si="127"/>
        <v>2.5179468771817581</v>
      </c>
      <c r="F54" s="38">
        <f t="shared" si="127"/>
        <v>1.9613172675658719</v>
      </c>
      <c r="G54" s="38">
        <f t="shared" si="127"/>
        <v>1.5471457828301194</v>
      </c>
      <c r="H54" s="38">
        <f t="shared" si="127"/>
        <v>1.3598092179833958</v>
      </c>
      <c r="I54" s="38">
        <f t="shared" si="127"/>
        <v>1.2316503512957775</v>
      </c>
      <c r="J54" s="39">
        <f t="shared" si="127"/>
        <v>1.1109408654797233</v>
      </c>
      <c r="K54" s="5">
        <f t="shared" si="86"/>
        <v>54</v>
      </c>
      <c r="M54" s="23">
        <f t="shared" si="87"/>
        <v>625</v>
      </c>
      <c r="N54" s="65" t="str">
        <f t="shared" ref="N54:V54" si="128">IF(N35="","",1+($R$43*$I$3/(N$44*$M54)))</f>
        <v/>
      </c>
      <c r="O54" s="65" t="str">
        <f t="shared" si="128"/>
        <v/>
      </c>
      <c r="P54" s="65" t="str">
        <f t="shared" si="128"/>
        <v/>
      </c>
      <c r="Q54" s="65">
        <f t="shared" si="128"/>
        <v>19.815654251584515</v>
      </c>
      <c r="R54" s="65">
        <f t="shared" si="128"/>
        <v>10.407827125792258</v>
      </c>
      <c r="S54" s="65">
        <f t="shared" si="128"/>
        <v>4.7631308503169034</v>
      </c>
      <c r="T54" s="65">
        <f t="shared" si="128"/>
        <v>2.8815654251584517</v>
      </c>
      <c r="U54" s="65">
        <f t="shared" si="128"/>
        <v>1.9407827125792259</v>
      </c>
      <c r="V54" s="65">
        <f t="shared" si="128"/>
        <v>1.3763130850316903</v>
      </c>
      <c r="W54" s="10">
        <f t="shared" si="24"/>
        <v>54</v>
      </c>
      <c r="X54" s="23">
        <f t="shared" si="100"/>
        <v>625</v>
      </c>
      <c r="Y54" s="4" t="str">
        <f t="shared" si="104"/>
        <v/>
      </c>
      <c r="Z54" s="4" t="str">
        <f t="shared" si="105"/>
        <v/>
      </c>
      <c r="AA54" s="4" t="str">
        <f t="shared" si="106"/>
        <v/>
      </c>
      <c r="AB54" s="4">
        <f t="shared" si="107"/>
        <v>17.305317890407771</v>
      </c>
      <c r="AC54" s="4">
        <f t="shared" si="108"/>
        <v>8.44918274292597</v>
      </c>
      <c r="AD54" s="4">
        <f t="shared" si="109"/>
        <v>3.2165825472692102</v>
      </c>
      <c r="AE54" s="4">
        <f t="shared" si="110"/>
        <v>1.5219416398038368</v>
      </c>
      <c r="AF54" s="4">
        <f t="shared" si="111"/>
        <v>0.70919147765466017</v>
      </c>
      <c r="AG54" s="4">
        <f t="shared" si="112"/>
        <v>0.26538965654727864</v>
      </c>
      <c r="AK54" s="10">
        <v>800</v>
      </c>
      <c r="AL54" s="10">
        <v>1.1385903824349677</v>
      </c>
      <c r="AM54" s="10">
        <v>1.0693081575184298</v>
      </c>
      <c r="AO54" s="18">
        <v>9</v>
      </c>
      <c r="AP54" s="4">
        <v>2.3066426563600357</v>
      </c>
      <c r="AQ54" s="4">
        <v>2.1883633646627811</v>
      </c>
    </row>
    <row r="55" spans="1:43" x14ac:dyDescent="0.25">
      <c r="A55" s="23">
        <f t="shared" si="97"/>
        <v>900</v>
      </c>
      <c r="B55" s="37" t="str">
        <f t="shared" ref="B55:J55" si="129">IF(B36="", "", EXP($I$3*SQRT((1-B$25)/(B$25*$A17)+(1-B$25*B36)/(B$25*B36*$A17))))</f>
        <v/>
      </c>
      <c r="C55" s="38" t="str">
        <f t="shared" si="129"/>
        <v/>
      </c>
      <c r="D55" s="38" t="str">
        <f t="shared" si="129"/>
        <v/>
      </c>
      <c r="E55" s="38">
        <f t="shared" si="129"/>
        <v>2.1927695987096247</v>
      </c>
      <c r="F55" s="38">
        <f t="shared" si="129"/>
        <v>1.7706717466537012</v>
      </c>
      <c r="G55" s="38">
        <f t="shared" si="129"/>
        <v>1.4460415699322544</v>
      </c>
      <c r="H55" s="38">
        <f t="shared" si="129"/>
        <v>1.2957493682036327</v>
      </c>
      <c r="I55" s="38">
        <f t="shared" si="129"/>
        <v>1.1915834546199353</v>
      </c>
      <c r="J55" s="39">
        <f t="shared" si="129"/>
        <v>1.0924321917586002</v>
      </c>
      <c r="K55" s="5">
        <f t="shared" si="86"/>
        <v>55</v>
      </c>
      <c r="M55" s="23">
        <f t="shared" si="87"/>
        <v>900</v>
      </c>
      <c r="N55" s="65" t="str">
        <f t="shared" ref="N55:V55" si="130">IF(N36="","",1+($R$43*$I$3/(N$44*$M55)))</f>
        <v/>
      </c>
      <c r="O55" s="65" t="str">
        <f t="shared" si="130"/>
        <v/>
      </c>
      <c r="P55" s="65" t="str">
        <f t="shared" si="130"/>
        <v/>
      </c>
      <c r="Q55" s="65">
        <f t="shared" si="130"/>
        <v>14.066426563600357</v>
      </c>
      <c r="R55" s="65">
        <f t="shared" si="130"/>
        <v>7.5332132818001787</v>
      </c>
      <c r="S55" s="65">
        <f t="shared" si="130"/>
        <v>3.6132853127200715</v>
      </c>
      <c r="T55" s="65">
        <f t="shared" si="130"/>
        <v>2.3066426563600357</v>
      </c>
      <c r="U55" s="65">
        <f t="shared" si="130"/>
        <v>1.6533213281800179</v>
      </c>
      <c r="V55" s="65">
        <f t="shared" si="130"/>
        <v>1.2613285312720071</v>
      </c>
      <c r="W55" s="10">
        <f t="shared" si="24"/>
        <v>55</v>
      </c>
      <c r="X55" s="23">
        <f t="shared" si="100"/>
        <v>900</v>
      </c>
      <c r="Y55" s="4" t="str">
        <f t="shared" si="104"/>
        <v/>
      </c>
      <c r="Z55" s="4" t="str">
        <f t="shared" si="105"/>
        <v/>
      </c>
      <c r="AA55" s="4" t="str">
        <f t="shared" si="106"/>
        <v/>
      </c>
      <c r="AB55" s="4">
        <f t="shared" si="107"/>
        <v>11.878063198937577</v>
      </c>
      <c r="AC55" s="4">
        <f t="shared" si="108"/>
        <v>5.7640096429798042</v>
      </c>
      <c r="AD55" s="4">
        <f t="shared" si="109"/>
        <v>2.1675565138349393</v>
      </c>
      <c r="AE55" s="4">
        <f t="shared" si="110"/>
        <v>1.0109878833461363</v>
      </c>
      <c r="AF55" s="4">
        <f t="shared" si="111"/>
        <v>0.46176742866341192</v>
      </c>
      <c r="AG55" s="4">
        <f t="shared" si="112"/>
        <v>0.16890485763935903</v>
      </c>
      <c r="AK55" s="10">
        <v>1250</v>
      </c>
      <c r="AL55" s="10">
        <v>1.1108723059479741</v>
      </c>
      <c r="AM55" s="10">
        <v>1.0554428788312653</v>
      </c>
      <c r="AO55" s="18">
        <v>9.8000000000000007</v>
      </c>
      <c r="AP55" s="4">
        <v>2.2521750579665447</v>
      </c>
      <c r="AQ55" s="4">
        <v>2.0861290095186296</v>
      </c>
    </row>
    <row r="56" spans="1:43" x14ac:dyDescent="0.25">
      <c r="A56" s="23">
        <f t="shared" si="97"/>
        <v>1600</v>
      </c>
      <c r="B56" s="37" t="str">
        <f t="shared" ref="B56:J56" si="131">IF(B37="", "", EXP($I$3*SQRT((1-B$25)/(B$25*$A18)+(1-B$25*B37)/(B$25*B37*$A18))))</f>
        <v/>
      </c>
      <c r="C56" s="38" t="str">
        <f t="shared" si="131"/>
        <v/>
      </c>
      <c r="D56" s="38">
        <f t="shared" si="131"/>
        <v>2.2934581122088877</v>
      </c>
      <c r="E56" s="38">
        <f t="shared" si="131"/>
        <v>1.8335141339204213</v>
      </c>
      <c r="F56" s="38">
        <f t="shared" si="131"/>
        <v>1.5515627569193471</v>
      </c>
      <c r="G56" s="38">
        <f t="shared" si="131"/>
        <v>1.3256925377284248</v>
      </c>
      <c r="H56" s="38">
        <f t="shared" si="131"/>
        <v>1.2181125965805386</v>
      </c>
      <c r="I56" s="38">
        <f t="shared" si="131"/>
        <v>1.1423560418131939</v>
      </c>
      <c r="J56" s="39">
        <f t="shared" si="131"/>
        <v>1.0693108971544369</v>
      </c>
      <c r="K56" s="5">
        <f t="shared" si="86"/>
        <v>56</v>
      </c>
      <c r="M56" s="23">
        <f t="shared" si="87"/>
        <v>1600</v>
      </c>
      <c r="N56" s="65" t="str">
        <f t="shared" ref="N56:V56" si="132">IF(N37="","",1+($R$43*$I$3/(N$44*$M56)))</f>
        <v/>
      </c>
      <c r="O56" s="65" t="str">
        <f t="shared" si="132"/>
        <v/>
      </c>
      <c r="P56" s="65">
        <f t="shared" si="132"/>
        <v>15.699729884050402</v>
      </c>
      <c r="Q56" s="65">
        <f t="shared" si="132"/>
        <v>8.3498649420252011</v>
      </c>
      <c r="R56" s="65">
        <f t="shared" si="132"/>
        <v>4.6749324710126006</v>
      </c>
      <c r="S56" s="65">
        <f t="shared" si="132"/>
        <v>2.4699729884050403</v>
      </c>
      <c r="T56" s="65">
        <f t="shared" si="132"/>
        <v>1.7349864942025202</v>
      </c>
      <c r="U56" s="65">
        <f t="shared" si="132"/>
        <v>1.36749324710126</v>
      </c>
      <c r="V56" s="65">
        <f t="shared" si="132"/>
        <v>1.1469972988405039</v>
      </c>
      <c r="W56" s="10">
        <f t="shared" si="24"/>
        <v>56</v>
      </c>
      <c r="X56" s="23">
        <f t="shared" si="100"/>
        <v>1600</v>
      </c>
      <c r="Y56" s="4" t="str">
        <f t="shared" si="104"/>
        <v/>
      </c>
      <c r="Z56" s="4" t="str">
        <f t="shared" si="105"/>
        <v/>
      </c>
      <c r="AA56" s="4">
        <f t="shared" si="106"/>
        <v>13.411495827733393</v>
      </c>
      <c r="AB56" s="4">
        <f t="shared" si="107"/>
        <v>6.5181070220201036</v>
      </c>
      <c r="AC56" s="4">
        <f t="shared" si="108"/>
        <v>3.1239174399048526</v>
      </c>
      <c r="AD56" s="4">
        <f t="shared" si="109"/>
        <v>1.144390246706037</v>
      </c>
      <c r="AE56" s="4">
        <f t="shared" si="110"/>
        <v>0.51690603279172764</v>
      </c>
      <c r="AF56" s="4">
        <f t="shared" si="111"/>
        <v>0.22514699223863688</v>
      </c>
      <c r="AG56" s="4">
        <f t="shared" si="112"/>
        <v>7.7689141322074162E-2</v>
      </c>
      <c r="AK56" s="10">
        <v>2450</v>
      </c>
      <c r="AL56" s="10">
        <v>1.0791945042485529</v>
      </c>
      <c r="AM56" s="10">
        <v>1.0395997405549651</v>
      </c>
      <c r="AO56" s="18">
        <v>9.8000000000000007</v>
      </c>
      <c r="AP56" s="4">
        <v>2.2521750579665447</v>
      </c>
      <c r="AQ56" s="4">
        <v>2.1334185780070913</v>
      </c>
    </row>
    <row r="57" spans="1:43" x14ac:dyDescent="0.25">
      <c r="A57" s="23">
        <f t="shared" si="97"/>
        <v>2500</v>
      </c>
      <c r="B57" s="37" t="str">
        <f t="shared" ref="B57:J57" si="133">IF(B38="", "", EXP($I$3*SQRT((1-B$25)/(B$25*$A19)+(1-B$25*B38)/(B$25*B38*$A19))))</f>
        <v/>
      </c>
      <c r="C57" s="38">
        <f t="shared" si="133"/>
        <v>2.7856682751392432</v>
      </c>
      <c r="D57" s="38">
        <f t="shared" si="133"/>
        <v>1.9732667135638609</v>
      </c>
      <c r="E57" s="38">
        <f t="shared" si="133"/>
        <v>1.6401530900155137</v>
      </c>
      <c r="F57" s="38">
        <f t="shared" si="133"/>
        <v>1.4294139844496574</v>
      </c>
      <c r="G57" s="38">
        <f t="shared" si="133"/>
        <v>1.2565009706373129</v>
      </c>
      <c r="H57" s="38">
        <f t="shared" si="133"/>
        <v>1.1727714821102406</v>
      </c>
      <c r="I57" s="38">
        <f t="shared" si="133"/>
        <v>1.1132606881830294</v>
      </c>
      <c r="J57" s="39">
        <f t="shared" si="133"/>
        <v>1.0554440122029181</v>
      </c>
      <c r="K57" s="5">
        <f t="shared" si="86"/>
        <v>57</v>
      </c>
      <c r="M57" s="23">
        <f t="shared" si="87"/>
        <v>2500</v>
      </c>
      <c r="N57" s="65" t="str">
        <f t="shared" ref="N57:V57" si="134">IF(N38="","",1+($R$43*$I$3/(N$44*$M57)))</f>
        <v/>
      </c>
      <c r="O57" s="65">
        <f t="shared" si="134"/>
        <v>24.519567814480645</v>
      </c>
      <c r="P57" s="65">
        <f t="shared" si="134"/>
        <v>10.407827125792258</v>
      </c>
      <c r="Q57" s="65">
        <f t="shared" si="134"/>
        <v>5.7039135628961288</v>
      </c>
      <c r="R57" s="65">
        <f t="shared" si="134"/>
        <v>3.3519567814480644</v>
      </c>
      <c r="S57" s="65">
        <f t="shared" si="134"/>
        <v>1.9407827125792259</v>
      </c>
      <c r="T57" s="65">
        <f t="shared" si="134"/>
        <v>1.4703913562896129</v>
      </c>
      <c r="U57" s="65">
        <f t="shared" si="134"/>
        <v>1.2351956781448064</v>
      </c>
      <c r="V57" s="65">
        <f t="shared" si="134"/>
        <v>1.0940782712579227</v>
      </c>
      <c r="W57" s="10">
        <f t="shared" si="24"/>
        <v>57</v>
      </c>
      <c r="X57" s="23">
        <f t="shared" si="100"/>
        <v>2500</v>
      </c>
      <c r="Y57" s="4" t="str">
        <f t="shared" si="104"/>
        <v/>
      </c>
      <c r="Z57" s="4">
        <f t="shared" si="105"/>
        <v>21.744171242289806</v>
      </c>
      <c r="AA57" s="4">
        <f t="shared" si="106"/>
        <v>8.4371635351964684</v>
      </c>
      <c r="AB57" s="4">
        <f t="shared" si="107"/>
        <v>4.0645882914434912</v>
      </c>
      <c r="AC57" s="4">
        <f t="shared" si="108"/>
        <v>1.9227908210866693</v>
      </c>
      <c r="AD57" s="4">
        <f t="shared" si="109"/>
        <v>0.68432964560261289</v>
      </c>
      <c r="AE57" s="4">
        <f t="shared" si="110"/>
        <v>0.29763361672821942</v>
      </c>
      <c r="AF57" s="4">
        <f t="shared" si="111"/>
        <v>0.12193911080010467</v>
      </c>
      <c r="AG57" s="4">
        <f t="shared" si="112"/>
        <v>3.8635392426657367E-2</v>
      </c>
      <c r="AK57" s="10">
        <v>5000</v>
      </c>
      <c r="AL57" s="10">
        <v>1.0554361529739871</v>
      </c>
      <c r="AM57" s="10">
        <v>1.0277189398782178</v>
      </c>
      <c r="AO57" s="10">
        <v>10</v>
      </c>
      <c r="AP57" s="4">
        <v>2.2395900646091231</v>
      </c>
      <c r="AQ57" s="4">
        <v>2.0239642543245737</v>
      </c>
    </row>
    <row r="58" spans="1:43" x14ac:dyDescent="0.25">
      <c r="A58" s="23">
        <f t="shared" si="97"/>
        <v>4900</v>
      </c>
      <c r="B58" s="37" t="str">
        <f t="shared" ref="B58:J58" si="135">IF(B39="", "", EXP($I$3*SQRT((1-B$25)/(B$25*$A20)+(1-B$25*B39)/(B$25*B39*$A20))))</f>
        <v/>
      </c>
      <c r="C58" s="38">
        <f t="shared" si="135"/>
        <v>2.1372230111216148</v>
      </c>
      <c r="D58" s="38">
        <f t="shared" si="135"/>
        <v>1.650062964237146</v>
      </c>
      <c r="E58" s="38">
        <f t="shared" si="135"/>
        <v>1.4371378916486657</v>
      </c>
      <c r="F58" s="38">
        <f t="shared" si="135"/>
        <v>1.2976026603756192</v>
      </c>
      <c r="G58" s="38">
        <f t="shared" si="135"/>
        <v>1.1800274614433315</v>
      </c>
      <c r="H58" s="38">
        <f t="shared" si="135"/>
        <v>1.122041956764376</v>
      </c>
      <c r="I58" s="38">
        <f t="shared" si="135"/>
        <v>1.0804006257306864</v>
      </c>
      <c r="J58" s="39">
        <f t="shared" si="135"/>
        <v>1.0396000389898468</v>
      </c>
      <c r="K58" s="5">
        <f t="shared" si="86"/>
        <v>58</v>
      </c>
      <c r="M58" s="23">
        <f t="shared" si="87"/>
        <v>4900</v>
      </c>
      <c r="N58" s="65" t="str">
        <f t="shared" ref="N58:V58" si="136">IF(N39="","",1+($R$43*$I$3/(N$44*$M58)))</f>
        <v/>
      </c>
      <c r="O58" s="65">
        <f t="shared" si="136"/>
        <v>12.999779497184001</v>
      </c>
      <c r="P58" s="65">
        <f t="shared" si="136"/>
        <v>5.7999117988736009</v>
      </c>
      <c r="Q58" s="65">
        <f t="shared" si="136"/>
        <v>3.3999558994368004</v>
      </c>
      <c r="R58" s="65">
        <f t="shared" si="136"/>
        <v>2.1999779497184004</v>
      </c>
      <c r="S58" s="65">
        <f t="shared" si="136"/>
        <v>1.4799911798873602</v>
      </c>
      <c r="T58" s="65">
        <f t="shared" si="136"/>
        <v>1.2399955899436801</v>
      </c>
      <c r="U58" s="65">
        <f t="shared" si="136"/>
        <v>1.11999779497184</v>
      </c>
      <c r="V58" s="65">
        <f t="shared" si="136"/>
        <v>1.047999117988736</v>
      </c>
      <c r="W58" s="10">
        <f t="shared" si="24"/>
        <v>58</v>
      </c>
      <c r="X58" s="23">
        <f t="shared" si="100"/>
        <v>4900</v>
      </c>
      <c r="Y58" s="4" t="str">
        <f t="shared" si="104"/>
        <v/>
      </c>
      <c r="Z58" s="4">
        <f t="shared" si="105"/>
        <v>10.866360919176909</v>
      </c>
      <c r="AA58" s="4">
        <f t="shared" si="106"/>
        <v>4.1506992880454225</v>
      </c>
      <c r="AB58" s="4">
        <f t="shared" si="107"/>
        <v>1.9630716493840104</v>
      </c>
      <c r="AC58" s="4">
        <f t="shared" si="108"/>
        <v>0.90244781630194115</v>
      </c>
      <c r="AD58" s="4">
        <f t="shared" si="109"/>
        <v>0.29997713256173975</v>
      </c>
      <c r="AE58" s="4">
        <f t="shared" si="110"/>
        <v>0.11795739295886332</v>
      </c>
      <c r="AF58" s="4">
        <f t="shared" si="111"/>
        <v>3.9598276564889012E-2</v>
      </c>
      <c r="AG58" s="4">
        <f t="shared" si="112"/>
        <v>8.3993774337709493E-3</v>
      </c>
      <c r="AK58" s="10">
        <v>7.2</v>
      </c>
      <c r="AL58" s="10">
        <v>2.4608709009609688</v>
      </c>
      <c r="AM58" s="10">
        <v>2.1286131394636429</v>
      </c>
      <c r="AO58" s="10">
        <v>10</v>
      </c>
      <c r="AP58" s="4">
        <v>2.2395900646091231</v>
      </c>
      <c r="AQ58" s="4">
        <v>2.1199335708609999</v>
      </c>
    </row>
    <row r="59" spans="1:43" x14ac:dyDescent="0.25">
      <c r="A59" s="23">
        <f t="shared" si="97"/>
        <v>10000</v>
      </c>
      <c r="B59" s="40">
        <f t="shared" ref="B59:J59" si="137">IF(B40="", "", EXP($I$3*SQRT((1-B$25)/(B$25*$A21)+(1-B$25*B40)/(B$25*B40*$A21))))</f>
        <v>2.1236133418088436</v>
      </c>
      <c r="C59" s="41">
        <f t="shared" si="137"/>
        <v>1.7339042356887895</v>
      </c>
      <c r="D59" s="41">
        <f t="shared" si="137"/>
        <v>1.4336885585000421</v>
      </c>
      <c r="E59" s="41">
        <f t="shared" si="137"/>
        <v>1.2962101157955439</v>
      </c>
      <c r="F59" s="41">
        <f t="shared" si="137"/>
        <v>1.2037895605314961</v>
      </c>
      <c r="G59" s="41">
        <f t="shared" si="137"/>
        <v>1.1244037343802631</v>
      </c>
      <c r="H59" s="41">
        <f t="shared" si="137"/>
        <v>1.0847297248817658</v>
      </c>
      <c r="I59" s="41">
        <f t="shared" si="137"/>
        <v>1.056022645954354</v>
      </c>
      <c r="J59" s="42">
        <f t="shared" si="137"/>
        <v>1.0277190121586601</v>
      </c>
      <c r="K59" s="5">
        <f t="shared" si="86"/>
        <v>59</v>
      </c>
      <c r="M59" s="23">
        <f t="shared" si="87"/>
        <v>10000</v>
      </c>
      <c r="N59" s="65">
        <f t="shared" ref="N59:V59" si="138">IF(N40="","",1+($R$43*$I$3/(N$44*$M59)))</f>
        <v>12.759783907240323</v>
      </c>
      <c r="O59" s="65">
        <f t="shared" si="138"/>
        <v>6.8798919536201613</v>
      </c>
      <c r="P59" s="65">
        <f t="shared" si="138"/>
        <v>3.3519567814480644</v>
      </c>
      <c r="Q59" s="65">
        <f t="shared" si="138"/>
        <v>2.1759783907240324</v>
      </c>
      <c r="R59" s="65">
        <f t="shared" si="138"/>
        <v>1.5879891953620162</v>
      </c>
      <c r="S59" s="65">
        <f t="shared" si="138"/>
        <v>1.2351956781448064</v>
      </c>
      <c r="T59" s="65">
        <f t="shared" si="138"/>
        <v>1.1175978390724033</v>
      </c>
      <c r="U59" s="65">
        <f t="shared" si="138"/>
        <v>1.0587989195362015</v>
      </c>
      <c r="V59" s="65">
        <f t="shared" si="138"/>
        <v>1.0235195678144806</v>
      </c>
      <c r="W59" s="10">
        <f t="shared" si="24"/>
        <v>59</v>
      </c>
      <c r="X59" s="23">
        <f t="shared" si="100"/>
        <v>10000</v>
      </c>
      <c r="Y59" s="4">
        <f t="shared" si="104"/>
        <v>10.639850336379322</v>
      </c>
      <c r="Z59" s="4">
        <f t="shared" si="105"/>
        <v>5.1471825974675349</v>
      </c>
      <c r="AA59" s="4">
        <f t="shared" si="106"/>
        <v>1.9185111513111266</v>
      </c>
      <c r="AB59" s="4">
        <f t="shared" si="107"/>
        <v>0.87983724852182754</v>
      </c>
      <c r="AC59" s="4">
        <f t="shared" si="108"/>
        <v>0.38421866196727206</v>
      </c>
      <c r="AD59" s="4">
        <f t="shared" si="109"/>
        <v>0.11079534795868029</v>
      </c>
      <c r="AE59" s="4">
        <f t="shared" si="110"/>
        <v>3.2869051563618745E-2</v>
      </c>
      <c r="AF59" s="4">
        <f t="shared" si="111"/>
        <v>2.7765459138415771E-3</v>
      </c>
      <c r="AG59" s="4">
        <f t="shared" si="112"/>
        <v>-4.1993720637372167E-3</v>
      </c>
      <c r="AK59" s="10">
        <v>12.8</v>
      </c>
      <c r="AL59" s="10">
        <v>2.0956531757207268</v>
      </c>
      <c r="AM59" s="10">
        <v>1.8017396687166829</v>
      </c>
      <c r="AO59" s="10">
        <v>12.5</v>
      </c>
      <c r="AP59" s="4">
        <v>2.1087230594797419</v>
      </c>
      <c r="AQ59" s="4">
        <v>1.9586443828662883</v>
      </c>
    </row>
    <row r="60" spans="1:43" x14ac:dyDescent="0.25">
      <c r="A60" s="54" t="str">
        <f>CHAR(COLUMN(B45)+64)&amp;ROW(B45)&amp;" "</f>
        <v xml:space="preserve">B45 </v>
      </c>
      <c r="B60" s="43" t="str">
        <f ca="1">_xlfn.FORMULATEXT(B45)</f>
        <v>=IF(B26="", "", EXP($I$3*SQRT((1-B$25)/(B$25*$A7)+(1-B$25*B26)/(B$25*B26*$A7))))</v>
      </c>
      <c r="C60" s="63"/>
      <c r="D60" s="63"/>
      <c r="E60" s="63"/>
      <c r="F60" s="63"/>
      <c r="G60" s="63"/>
      <c r="H60" s="63"/>
      <c r="I60" s="63"/>
      <c r="J60" s="63"/>
      <c r="K60" s="5">
        <f t="shared" si="86"/>
        <v>60</v>
      </c>
      <c r="M60" s="54" t="str">
        <f>CHAR(COLUMN(N45)+64)&amp;ROW(N45)&amp;" "</f>
        <v xml:space="preserve">N45 </v>
      </c>
      <c r="N60" s="67" t="str">
        <f ca="1">_xlfn.FORMULATEXT(N45)</f>
        <v>=IF(N26="","",1+($R$43*$I$3/(N$44*$M45)))</v>
      </c>
      <c r="W60" s="10">
        <f t="shared" si="24"/>
        <v>60</v>
      </c>
      <c r="X60" s="1" t="str">
        <f t="shared" si="100"/>
        <v xml:space="preserve">N45 </v>
      </c>
      <c r="Y60" s="18" t="str">
        <f ca="1">_xlfn.FORMULATEXT(Y45)</f>
        <v>=IF(N45="","",N45-N7)</v>
      </c>
      <c r="AK60" s="10">
        <v>20</v>
      </c>
      <c r="AL60" s="10">
        <v>1.8765225405765813</v>
      </c>
      <c r="AM60" s="10">
        <v>1.6215997232830548</v>
      </c>
      <c r="AO60" s="10">
        <v>12.5</v>
      </c>
      <c r="AP60" s="4">
        <v>2.1087230594797419</v>
      </c>
      <c r="AQ60" s="4">
        <v>1.9706635905957897</v>
      </c>
    </row>
    <row r="61" spans="1:43" x14ac:dyDescent="0.25">
      <c r="A61" s="33" t="s">
        <v>43</v>
      </c>
      <c r="B61" s="33" t="s">
        <v>44</v>
      </c>
      <c r="C61" s="33" t="s">
        <v>45</v>
      </c>
      <c r="D61" s="33" t="s">
        <v>46</v>
      </c>
      <c r="E61" s="33" t="s">
        <v>47</v>
      </c>
      <c r="F61" s="33" t="s">
        <v>48</v>
      </c>
      <c r="G61" s="33" t="s">
        <v>49</v>
      </c>
      <c r="H61" s="33" t="s">
        <v>50</v>
      </c>
      <c r="I61" s="33" t="s">
        <v>51</v>
      </c>
      <c r="J61" s="33" t="s">
        <v>52</v>
      </c>
      <c r="K61" s="5">
        <f t="shared" si="86"/>
        <v>61</v>
      </c>
      <c r="M61" s="33" t="s">
        <v>83</v>
      </c>
      <c r="N61" s="33" t="s">
        <v>6</v>
      </c>
      <c r="O61" s="33" t="s">
        <v>84</v>
      </c>
      <c r="P61" s="33" t="s">
        <v>85</v>
      </c>
      <c r="Q61" s="33" t="s">
        <v>86</v>
      </c>
      <c r="R61" s="33" t="s">
        <v>0</v>
      </c>
      <c r="S61" s="33" t="s">
        <v>87</v>
      </c>
      <c r="T61" s="33" t="s">
        <v>1</v>
      </c>
      <c r="U61" s="33" t="s">
        <v>88</v>
      </c>
      <c r="V61" s="33" t="s">
        <v>89</v>
      </c>
      <c r="W61" s="10">
        <f t="shared" si="24"/>
        <v>61</v>
      </c>
      <c r="AK61" s="10">
        <v>28.8</v>
      </c>
      <c r="AL61" s="10">
        <v>1.7304354504804844</v>
      </c>
      <c r="AM61" s="10">
        <v>1.5075639899267923</v>
      </c>
      <c r="AO61" s="10">
        <v>12.8</v>
      </c>
      <c r="AP61" s="4">
        <v>2.0956531757207268</v>
      </c>
      <c r="AQ61" s="4">
        <v>1.8017396687166829</v>
      </c>
    </row>
    <row r="62" spans="1:43" x14ac:dyDescent="0.25">
      <c r="A62" s="10" t="s">
        <v>79</v>
      </c>
      <c r="E62" s="54" t="str">
        <f>+E43</f>
        <v xml:space="preserve">N*P1 ≥ </v>
      </c>
      <c r="F62" s="59">
        <f>+F43</f>
        <v>5</v>
      </c>
      <c r="G62" s="18">
        <f>MAX(B64:J78)</f>
        <v>2.7740378665393228</v>
      </c>
      <c r="H62" s="10" t="str">
        <f>H43</f>
        <v>Max Min RRss</v>
      </c>
      <c r="J62" s="5" t="str">
        <f>J43</f>
        <v>V0b</v>
      </c>
      <c r="K62" s="5">
        <f t="shared" si="6"/>
        <v>62</v>
      </c>
      <c r="M62" s="10" t="s">
        <v>152</v>
      </c>
      <c r="R62" s="10">
        <v>1.8</v>
      </c>
      <c r="S62" s="10" t="s">
        <v>105</v>
      </c>
      <c r="T62" s="10" t="str">
        <f>T43</f>
        <v xml:space="preserve">N*P1 ≥ </v>
      </c>
      <c r="U62" s="31">
        <f>U43</f>
        <v>5</v>
      </c>
      <c r="X62" s="10" t="s">
        <v>106</v>
      </c>
      <c r="AC62" s="18">
        <f>MIN(Y64:AG78)</f>
        <v>-2.9529045315679348E-3</v>
      </c>
      <c r="AD62" s="10" t="s">
        <v>94</v>
      </c>
      <c r="AE62" s="18">
        <f>MAX(Y64:AG78)</f>
        <v>0.46210471222192062</v>
      </c>
      <c r="AF62" s="10" t="s">
        <v>93</v>
      </c>
      <c r="AK62" s="10">
        <v>39.200000000000003</v>
      </c>
      <c r="AL62" s="10">
        <v>1.6260875289832724</v>
      </c>
      <c r="AM62" s="10">
        <v>1.4288966707605186</v>
      </c>
      <c r="AO62" s="10">
        <v>12.8</v>
      </c>
      <c r="AP62" s="4">
        <v>2.0956531757207268</v>
      </c>
      <c r="AQ62" s="4">
        <v>1.9211567484050913</v>
      </c>
    </row>
    <row r="63" spans="1:43" x14ac:dyDescent="0.25">
      <c r="A63" s="10" t="str">
        <f t="shared" ref="A63:H63" si="139">A44</f>
        <v>N \ P1</v>
      </c>
      <c r="B63" s="1">
        <f t="shared" si="139"/>
        <v>1E-3</v>
      </c>
      <c r="C63" s="1">
        <f t="shared" si="139"/>
        <v>2E-3</v>
      </c>
      <c r="D63" s="1">
        <f t="shared" si="139"/>
        <v>5.0000000000000001E-3</v>
      </c>
      <c r="E63" s="1">
        <f t="shared" si="139"/>
        <v>0.01</v>
      </c>
      <c r="F63" s="1">
        <f t="shared" si="139"/>
        <v>0.02</v>
      </c>
      <c r="G63" s="1">
        <f t="shared" si="139"/>
        <v>0.05</v>
      </c>
      <c r="H63" s="1">
        <f t="shared" si="139"/>
        <v>0.1</v>
      </c>
      <c r="I63" s="1">
        <f>I44</f>
        <v>0.2</v>
      </c>
      <c r="J63" s="1">
        <f>J44</f>
        <v>0.5</v>
      </c>
      <c r="K63" s="5">
        <f t="shared" ref="K63:K80" si="140">K62+1</f>
        <v>63</v>
      </c>
      <c r="M63" s="23" t="str">
        <f t="shared" ref="M63:V78" si="141">M44</f>
        <v>N \ P1</v>
      </c>
      <c r="N63" s="1">
        <f t="shared" si="141"/>
        <v>1E-3</v>
      </c>
      <c r="O63" s="1">
        <f t="shared" si="141"/>
        <v>2E-3</v>
      </c>
      <c r="P63" s="1">
        <f t="shared" si="141"/>
        <v>5.0000000000000001E-3</v>
      </c>
      <c r="Q63" s="1">
        <f t="shared" si="141"/>
        <v>0.01</v>
      </c>
      <c r="R63" s="1">
        <f t="shared" si="141"/>
        <v>0.02</v>
      </c>
      <c r="S63" s="1">
        <f t="shared" si="141"/>
        <v>0.05</v>
      </c>
      <c r="T63" s="1">
        <f t="shared" si="141"/>
        <v>0.1</v>
      </c>
      <c r="U63" s="1">
        <f t="shared" si="141"/>
        <v>0.2</v>
      </c>
      <c r="V63" s="1">
        <f t="shared" si="141"/>
        <v>0.5</v>
      </c>
      <c r="X63" s="1" t="str">
        <f>M63</f>
        <v>N \ P1</v>
      </c>
      <c r="Y63" s="1">
        <f t="shared" ref="Y63" si="142">N63</f>
        <v>1E-3</v>
      </c>
      <c r="Z63" s="1">
        <f t="shared" ref="Z63" si="143">O63</f>
        <v>2E-3</v>
      </c>
      <c r="AA63" s="1">
        <f t="shared" ref="AA63" si="144">P63</f>
        <v>5.0000000000000001E-3</v>
      </c>
      <c r="AB63" s="1">
        <f t="shared" ref="AB63" si="145">Q63</f>
        <v>0.01</v>
      </c>
      <c r="AC63" s="1">
        <f t="shared" ref="AC63" si="146">R63</f>
        <v>0.02</v>
      </c>
      <c r="AD63" s="1">
        <f t="shared" ref="AD63" si="147">S63</f>
        <v>0.05</v>
      </c>
      <c r="AE63" s="1">
        <f t="shared" ref="AE63" si="148">T63</f>
        <v>0.1</v>
      </c>
      <c r="AF63" s="1">
        <f t="shared" ref="AF63" si="149">U63</f>
        <v>0.2</v>
      </c>
      <c r="AG63" s="1">
        <f t="shared" ref="AG63" si="150">V63</f>
        <v>0.5</v>
      </c>
      <c r="AK63" s="10">
        <v>51.2</v>
      </c>
      <c r="AL63" s="10">
        <v>1.5478265878603634</v>
      </c>
      <c r="AM63" s="10">
        <v>1.3713530129339062</v>
      </c>
      <c r="AO63" s="10">
        <v>14.4</v>
      </c>
      <c r="AP63" s="4">
        <v>2.0329917205076025</v>
      </c>
      <c r="AQ63" s="4">
        <v>1.821870411154823</v>
      </c>
    </row>
    <row r="64" spans="1:43" x14ac:dyDescent="0.25">
      <c r="A64" s="23">
        <f t="shared" ref="A64:A78" si="151">A45</f>
        <v>16</v>
      </c>
      <c r="B64" s="34" t="str">
        <f t="shared" ref="B64:J64" si="152">IF(B45="", "", EXP($I$3*SQRT((1-B$44)/(B$44*$A7)+(1-B$44*B45)/(B$44*B45*$A7))))</f>
        <v/>
      </c>
      <c r="C64" s="35" t="str">
        <f t="shared" si="152"/>
        <v/>
      </c>
      <c r="D64" s="35" t="str">
        <f t="shared" si="152"/>
        <v/>
      </c>
      <c r="E64" s="35" t="str">
        <f t="shared" si="152"/>
        <v/>
      </c>
      <c r="F64" s="35" t="str">
        <f t="shared" si="152"/>
        <v/>
      </c>
      <c r="G64" s="35" t="str">
        <f t="shared" si="152"/>
        <v/>
      </c>
      <c r="H64" s="35" t="str">
        <f t="shared" si="152"/>
        <v/>
      </c>
      <c r="I64" s="35" t="str">
        <f t="shared" si="152"/>
        <v/>
      </c>
      <c r="J64" s="36">
        <f t="shared" si="152"/>
        <v>1.6961480737223944</v>
      </c>
      <c r="K64" s="5">
        <f t="shared" si="140"/>
        <v>64</v>
      </c>
      <c r="M64" s="23">
        <f t="shared" si="141"/>
        <v>16</v>
      </c>
      <c r="N64" s="69" t="str">
        <f>IF(N7="","", EXP($I$3*SQRT($R$62*(1-B$6)/(B$6*$A7))))</f>
        <v/>
      </c>
      <c r="O64" s="69" t="str">
        <f t="shared" ref="O64:V64" si="153">IF(O7="","", EXP($I$3*SQRT($R$62*(1-C$6)/(C$6*$A7))))</f>
        <v/>
      </c>
      <c r="P64" s="69" t="str">
        <f t="shared" si="153"/>
        <v/>
      </c>
      <c r="Q64" s="69" t="str">
        <f t="shared" si="153"/>
        <v/>
      </c>
      <c r="R64" s="69" t="str">
        <f t="shared" si="153"/>
        <v/>
      </c>
      <c r="S64" s="69" t="str">
        <f t="shared" si="153"/>
        <v/>
      </c>
      <c r="T64" s="69" t="str">
        <f t="shared" si="153"/>
        <v/>
      </c>
      <c r="U64" s="69" t="str">
        <f t="shared" si="153"/>
        <v/>
      </c>
      <c r="V64" s="69">
        <f t="shared" si="153"/>
        <v>1.9297527876891643</v>
      </c>
      <c r="X64" s="23">
        <f t="shared" ref="X64:X79" si="154">M64</f>
        <v>16</v>
      </c>
      <c r="Y64" s="4" t="str">
        <f>IF(N64="","",N64-N7)</f>
        <v/>
      </c>
      <c r="Z64" s="4" t="str">
        <f t="shared" ref="Z64:AG64" si="155">IF(O64="","",O64-O7)</f>
        <v/>
      </c>
      <c r="AA64" s="4" t="str">
        <f t="shared" si="155"/>
        <v/>
      </c>
      <c r="AB64" s="4" t="str">
        <f t="shared" si="155"/>
        <v/>
      </c>
      <c r="AC64" s="4" t="str">
        <f t="shared" si="155"/>
        <v/>
      </c>
      <c r="AD64" s="4" t="str">
        <f t="shared" si="155"/>
        <v/>
      </c>
      <c r="AE64" s="4" t="str">
        <f t="shared" si="155"/>
        <v/>
      </c>
      <c r="AF64" s="4" t="str">
        <f t="shared" si="155"/>
        <v/>
      </c>
      <c r="AG64" s="4">
        <f t="shared" si="155"/>
        <v>0.22897430753053771</v>
      </c>
      <c r="AK64" s="10">
        <v>64.8</v>
      </c>
      <c r="AL64" s="10">
        <v>1.4869569669869898</v>
      </c>
      <c r="AM64" s="10">
        <v>1.3274310654390042</v>
      </c>
      <c r="AO64" s="10">
        <v>16</v>
      </c>
      <c r="AP64" s="4">
        <v>1.9799819922700268</v>
      </c>
      <c r="AQ64" s="4">
        <v>1.831757920005098</v>
      </c>
    </row>
    <row r="65" spans="1:43" x14ac:dyDescent="0.25">
      <c r="A65" s="23">
        <f t="shared" si="151"/>
        <v>36</v>
      </c>
      <c r="B65" s="37" t="str">
        <f t="shared" ref="B65:J65" si="156">IF(B46="", "", EXP($I$3*SQRT((1-B$44)/(B$44*$A8)+(1-B$44*B46)/(B$44*B46*$A8))))</f>
        <v/>
      </c>
      <c r="C65" s="38" t="str">
        <f t="shared" si="156"/>
        <v/>
      </c>
      <c r="D65" s="38" t="str">
        <f t="shared" si="156"/>
        <v/>
      </c>
      <c r="E65" s="38" t="str">
        <f t="shared" si="156"/>
        <v/>
      </c>
      <c r="F65" s="38" t="str">
        <f t="shared" si="156"/>
        <v/>
      </c>
      <c r="G65" s="38" t="str">
        <f t="shared" si="156"/>
        <v/>
      </c>
      <c r="H65" s="38" t="str">
        <f t="shared" si="156"/>
        <v/>
      </c>
      <c r="I65" s="38">
        <f t="shared" si="156"/>
        <v>2.1271103602257098</v>
      </c>
      <c r="J65" s="39">
        <f t="shared" si="156"/>
        <v>1.4639741977410792</v>
      </c>
      <c r="K65" s="5">
        <f t="shared" si="140"/>
        <v>65</v>
      </c>
      <c r="M65" s="23">
        <f t="shared" si="141"/>
        <v>36</v>
      </c>
      <c r="N65" s="69" t="str">
        <f t="shared" ref="N65:N78" si="157">IF(N8="","", EXP($I$3*SQRT($R$62*(1-B$6)/(B$6*$A8))))</f>
        <v/>
      </c>
      <c r="O65" s="69" t="str">
        <f t="shared" ref="O65:O78" si="158">IF(O8="","", EXP($I$3*SQRT($R$62*(1-C$6)/(C$6*$A8))))</f>
        <v/>
      </c>
      <c r="P65" s="69" t="str">
        <f t="shared" ref="P65:P78" si="159">IF(P8="","", EXP($I$3*SQRT($R$62*(1-D$6)/(D$6*$A8))))</f>
        <v/>
      </c>
      <c r="Q65" s="69" t="str">
        <f t="shared" ref="Q65:Q78" si="160">IF(Q8="","", EXP($I$3*SQRT($R$62*(1-E$6)/(E$6*$A8))))</f>
        <v/>
      </c>
      <c r="R65" s="69" t="str">
        <f t="shared" ref="R65:R78" si="161">IF(R8="","", EXP($I$3*SQRT($R$62*(1-F$6)/(F$6*$A8))))</f>
        <v/>
      </c>
      <c r="S65" s="69" t="str">
        <f t="shared" ref="S65:S78" si="162">IF(S8="","", EXP($I$3*SQRT($R$62*(1-G$6)/(G$6*$A8))))</f>
        <v/>
      </c>
      <c r="T65" s="69" t="str">
        <f t="shared" ref="T65:T78" si="163">IF(T8="","", EXP($I$3*SQRT($R$62*(1-H$6)/(H$6*$A8))))</f>
        <v/>
      </c>
      <c r="U65" s="69">
        <f t="shared" ref="U65:U78" si="164">IF(U8="","", EXP($I$3*SQRT($R$62*(1-I$6)/(I$6*$A8))))</f>
        <v>2.4025304608041371</v>
      </c>
      <c r="V65" s="69">
        <f t="shared" ref="V65:V78" si="165">IF(V8="","", EXP($I$3*SQRT($R$62*(1-J$6)/(J$6*$A8))))</f>
        <v>1.5500098260347053</v>
      </c>
      <c r="X65" s="23">
        <f t="shared" si="154"/>
        <v>36</v>
      </c>
      <c r="Y65" s="4" t="str">
        <f t="shared" ref="Y65:Y78" si="166">IF(N65="","",N65-N8)</f>
        <v/>
      </c>
      <c r="Z65" s="4" t="str">
        <f t="shared" ref="Z65:Z78" si="167">IF(O65="","",O65-O8)</f>
        <v/>
      </c>
      <c r="AA65" s="4" t="str">
        <f t="shared" ref="AA65:AA78" si="168">IF(P65="","",P65-P8)</f>
        <v/>
      </c>
      <c r="AB65" s="4" t="str">
        <f t="shared" ref="AB65:AB78" si="169">IF(Q65="","",Q65-Q8)</f>
        <v/>
      </c>
      <c r="AC65" s="4" t="str">
        <f t="shared" ref="AC65:AC78" si="170">IF(R65="","",R65-R8)</f>
        <v/>
      </c>
      <c r="AD65" s="4" t="str">
        <f t="shared" ref="AD65:AD78" si="171">IF(S65="","",S65-S8)</f>
        <v/>
      </c>
      <c r="AE65" s="4" t="str">
        <f t="shared" ref="AE65:AE78" si="172">IF(T65="","",T65-T8)</f>
        <v/>
      </c>
      <c r="AF65" s="4">
        <f t="shared" ref="AF65:AF78" si="173">IF(U65="","",U65-U8)</f>
        <v>0.27391732134049418</v>
      </c>
      <c r="AG65" s="4">
        <f t="shared" ref="AG65:AG78" si="174">IF(V65="","",V65-V8)</f>
        <v>8.5261562965496696E-2</v>
      </c>
      <c r="AK65" s="10">
        <v>80</v>
      </c>
      <c r="AL65" s="10">
        <v>1.4382612702882906</v>
      </c>
      <c r="AM65" s="10">
        <v>1.2928050494065708</v>
      </c>
      <c r="AO65" s="10">
        <v>16.2</v>
      </c>
      <c r="AP65" s="4">
        <v>1.9739139339739793</v>
      </c>
      <c r="AQ65" s="4">
        <v>1.7995271620687636</v>
      </c>
    </row>
    <row r="66" spans="1:43" x14ac:dyDescent="0.25">
      <c r="A66" s="23">
        <f t="shared" si="151"/>
        <v>64</v>
      </c>
      <c r="B66" s="37" t="str">
        <f t="shared" ref="B66:J66" si="175">IF(B47="", "", EXP($I$3*SQRT((1-B$44)/(B$44*$A9)+(1-B$44*B47)/(B$44*B47*$A9))))</f>
        <v/>
      </c>
      <c r="C66" s="38" t="str">
        <f t="shared" si="175"/>
        <v/>
      </c>
      <c r="D66" s="38" t="str">
        <f t="shared" si="175"/>
        <v/>
      </c>
      <c r="E66" s="38" t="str">
        <f t="shared" si="175"/>
        <v/>
      </c>
      <c r="F66" s="38" t="str">
        <f t="shared" si="175"/>
        <v/>
      </c>
      <c r="G66" s="38" t="str">
        <f t="shared" si="175"/>
        <v/>
      </c>
      <c r="H66" s="38">
        <f t="shared" si="175"/>
        <v>2.3553514227965846</v>
      </c>
      <c r="I66" s="38">
        <f t="shared" si="175"/>
        <v>1.801236863237246</v>
      </c>
      <c r="J66" s="39">
        <f t="shared" si="175"/>
        <v>1.3475504138488714</v>
      </c>
      <c r="K66" s="5">
        <f t="shared" si="140"/>
        <v>66</v>
      </c>
      <c r="M66" s="23">
        <f t="shared" si="141"/>
        <v>64</v>
      </c>
      <c r="N66" s="69" t="str">
        <f t="shared" si="157"/>
        <v/>
      </c>
      <c r="O66" s="69" t="str">
        <f t="shared" si="158"/>
        <v/>
      </c>
      <c r="P66" s="69" t="str">
        <f t="shared" si="159"/>
        <v/>
      </c>
      <c r="Q66" s="69" t="str">
        <f t="shared" si="160"/>
        <v/>
      </c>
      <c r="R66" s="69" t="str">
        <f t="shared" si="161"/>
        <v/>
      </c>
      <c r="S66" s="69" t="str">
        <f t="shared" si="162"/>
        <v/>
      </c>
      <c r="T66" s="69">
        <f t="shared" si="163"/>
        <v>2.6807265489834338</v>
      </c>
      <c r="U66" s="69">
        <f t="shared" si="164"/>
        <v>1.9297527876891643</v>
      </c>
      <c r="V66" s="69">
        <f t="shared" si="165"/>
        <v>1.3891554224380958</v>
      </c>
      <c r="X66" s="23">
        <f t="shared" si="154"/>
        <v>64</v>
      </c>
      <c r="Y66" s="4" t="str">
        <f t="shared" si="166"/>
        <v/>
      </c>
      <c r="Z66" s="4" t="str">
        <f t="shared" si="167"/>
        <v/>
      </c>
      <c r="AA66" s="4" t="str">
        <f t="shared" si="168"/>
        <v/>
      </c>
      <c r="AB66" s="4" t="str">
        <f t="shared" si="169"/>
        <v/>
      </c>
      <c r="AC66" s="4" t="str">
        <f t="shared" si="170"/>
        <v/>
      </c>
      <c r="AD66" s="4" t="str">
        <f t="shared" si="171"/>
        <v/>
      </c>
      <c r="AE66" s="4">
        <f t="shared" si="172"/>
        <v>0.32408716382333846</v>
      </c>
      <c r="AF66" s="4">
        <f t="shared" si="173"/>
        <v>0.12801311897248135</v>
      </c>
      <c r="AG66" s="4">
        <f t="shared" si="174"/>
        <v>4.1396911553993387E-2</v>
      </c>
      <c r="AK66" s="10">
        <v>125</v>
      </c>
      <c r="AL66" s="10">
        <v>1.3506090162306326</v>
      </c>
      <c r="AM66" s="10">
        <v>1.2315912349245657</v>
      </c>
      <c r="AO66" s="10">
        <v>18</v>
      </c>
      <c r="AP66" s="4">
        <v>1.923935882899785</v>
      </c>
      <c r="AQ66" s="4">
        <v>1.4647482630692086</v>
      </c>
    </row>
    <row r="67" spans="1:43" x14ac:dyDescent="0.25">
      <c r="A67" s="23">
        <f t="shared" si="151"/>
        <v>100</v>
      </c>
      <c r="B67" s="37" t="str">
        <f t="shared" ref="B67:J67" si="176">IF(B48="", "", EXP($I$3*SQRT((1-B$44)/(B$44*$A10)+(1-B$44*B48)/(B$44*B48*$A10))))</f>
        <v/>
      </c>
      <c r="C67" s="38" t="str">
        <f t="shared" si="176"/>
        <v/>
      </c>
      <c r="D67" s="38" t="str">
        <f t="shared" si="176"/>
        <v/>
      </c>
      <c r="E67" s="38" t="str">
        <f t="shared" si="176"/>
        <v/>
      </c>
      <c r="F67" s="38" t="str">
        <f t="shared" si="176"/>
        <v/>
      </c>
      <c r="G67" s="38">
        <f t="shared" si="176"/>
        <v>2.6858414182607087</v>
      </c>
      <c r="H67" s="38">
        <f t="shared" si="176"/>
        <v>2.0233786429311729</v>
      </c>
      <c r="I67" s="38">
        <f t="shared" si="176"/>
        <v>1.6213962526054422</v>
      </c>
      <c r="J67" s="39">
        <f t="shared" si="176"/>
        <v>1.2778008811239043</v>
      </c>
      <c r="K67" s="5">
        <f t="shared" si="140"/>
        <v>67</v>
      </c>
      <c r="M67" s="23">
        <f t="shared" si="141"/>
        <v>100</v>
      </c>
      <c r="N67" s="69" t="str">
        <f t="shared" si="157"/>
        <v/>
      </c>
      <c r="O67" s="69" t="str">
        <f t="shared" si="158"/>
        <v/>
      </c>
      <c r="P67" s="69" t="str">
        <f t="shared" si="159"/>
        <v/>
      </c>
      <c r="Q67" s="69" t="str">
        <f t="shared" si="160"/>
        <v/>
      </c>
      <c r="R67" s="69" t="str">
        <f t="shared" si="161"/>
        <v/>
      </c>
      <c r="S67" s="69">
        <f t="shared" si="162"/>
        <v>3.146220693966955</v>
      </c>
      <c r="T67" s="69">
        <f t="shared" si="163"/>
        <v>2.2009086251248653</v>
      </c>
      <c r="U67" s="69">
        <f t="shared" si="164"/>
        <v>1.6920038292742972</v>
      </c>
      <c r="V67" s="69">
        <f t="shared" si="165"/>
        <v>1.3007704752469966</v>
      </c>
      <c r="X67" s="23">
        <f t="shared" si="154"/>
        <v>100</v>
      </c>
      <c r="Y67" s="4" t="str">
        <f t="shared" si="166"/>
        <v/>
      </c>
      <c r="Z67" s="4" t="str">
        <f t="shared" si="167"/>
        <v/>
      </c>
      <c r="AA67" s="4" t="str">
        <f t="shared" si="168"/>
        <v/>
      </c>
      <c r="AB67" s="4" t="str">
        <f t="shared" si="169"/>
        <v/>
      </c>
      <c r="AC67" s="4" t="str">
        <f t="shared" si="170"/>
        <v/>
      </c>
      <c r="AD67" s="4">
        <f t="shared" si="171"/>
        <v>0.45877153987739616</v>
      </c>
      <c r="AE67" s="4">
        <f t="shared" si="172"/>
        <v>0.17694437080029157</v>
      </c>
      <c r="AF67" s="4">
        <f t="shared" si="173"/>
        <v>7.0404105991242361E-2</v>
      </c>
      <c r="AG67" s="4">
        <f t="shared" si="174"/>
        <v>2.2895944719894645E-2</v>
      </c>
      <c r="AK67" s="10">
        <v>180</v>
      </c>
      <c r="AL67" s="10">
        <v>1.2921741801921938</v>
      </c>
      <c r="AM67" s="10">
        <v>1.191553899516606</v>
      </c>
      <c r="AO67" s="10">
        <v>18</v>
      </c>
      <c r="AP67" s="4">
        <v>1.923935882899785</v>
      </c>
      <c r="AQ67" s="4">
        <v>1.769203638820374</v>
      </c>
    </row>
    <row r="68" spans="1:43" x14ac:dyDescent="0.25">
      <c r="A68" s="23">
        <f t="shared" si="151"/>
        <v>144</v>
      </c>
      <c r="B68" s="37" t="str">
        <f t="shared" ref="B68:J68" si="177">IF(B49="", "", EXP($I$3*SQRT((1-B$44)/(B$44*$A11)+(1-B$44*B49)/(B$44*B49*$A11))))</f>
        <v/>
      </c>
      <c r="C68" s="38" t="str">
        <f t="shared" si="177"/>
        <v/>
      </c>
      <c r="D68" s="38" t="str">
        <f t="shared" si="177"/>
        <v/>
      </c>
      <c r="E68" s="38" t="str">
        <f t="shared" si="177"/>
        <v/>
      </c>
      <c r="F68" s="38" t="str">
        <f t="shared" si="177"/>
        <v/>
      </c>
      <c r="G68" s="38">
        <f t="shared" si="177"/>
        <v>2.3214184024177422</v>
      </c>
      <c r="H68" s="38">
        <f t="shared" si="177"/>
        <v>1.8215766280161863</v>
      </c>
      <c r="I68" s="38">
        <f t="shared" si="177"/>
        <v>1.5074696350295893</v>
      </c>
      <c r="J68" s="39">
        <f t="shared" si="177"/>
        <v>1.2313696646482135</v>
      </c>
      <c r="K68" s="5">
        <f t="shared" si="140"/>
        <v>68</v>
      </c>
      <c r="M68" s="23">
        <f t="shared" si="141"/>
        <v>144</v>
      </c>
      <c r="N68" s="69" t="str">
        <f t="shared" si="157"/>
        <v/>
      </c>
      <c r="O68" s="69" t="str">
        <f t="shared" si="158"/>
        <v/>
      </c>
      <c r="P68" s="69" t="str">
        <f t="shared" si="159"/>
        <v/>
      </c>
      <c r="Q68" s="69" t="str">
        <f t="shared" si="160"/>
        <v/>
      </c>
      <c r="R68" s="69" t="str">
        <f t="shared" si="161"/>
        <v/>
      </c>
      <c r="S68" s="69">
        <f t="shared" si="162"/>
        <v>2.5991079604602998</v>
      </c>
      <c r="T68" s="69">
        <f t="shared" si="163"/>
        <v>1.9297527876891643</v>
      </c>
      <c r="U68" s="69">
        <f t="shared" si="164"/>
        <v>1.5500098260347053</v>
      </c>
      <c r="V68" s="69">
        <f t="shared" si="165"/>
        <v>1.2449939060231199</v>
      </c>
      <c r="X68" s="23">
        <f t="shared" si="154"/>
        <v>144</v>
      </c>
      <c r="Y68" s="4" t="str">
        <f t="shared" si="166"/>
        <v/>
      </c>
      <c r="Z68" s="4" t="str">
        <f t="shared" si="167"/>
        <v/>
      </c>
      <c r="AA68" s="4" t="str">
        <f t="shared" si="168"/>
        <v/>
      </c>
      <c r="AB68" s="4" t="str">
        <f t="shared" si="169"/>
        <v/>
      </c>
      <c r="AC68" s="4" t="str">
        <f t="shared" si="170"/>
        <v/>
      </c>
      <c r="AD68" s="4">
        <f t="shared" si="171"/>
        <v>0.27679712958291747</v>
      </c>
      <c r="AE68" s="4">
        <f t="shared" si="172"/>
        <v>0.1078823765343413</v>
      </c>
      <c r="AF68" s="4">
        <f t="shared" si="173"/>
        <v>4.2445836107912971E-2</v>
      </c>
      <c r="AG68" s="4">
        <f t="shared" si="174"/>
        <v>1.3593052224740498E-2</v>
      </c>
      <c r="AK68" s="10">
        <v>320</v>
      </c>
      <c r="AL68" s="10">
        <v>1.2191306351441453</v>
      </c>
      <c r="AM68" s="10">
        <v>1.1423462548626231</v>
      </c>
      <c r="AO68" s="10">
        <v>19.600000000000001</v>
      </c>
      <c r="AP68" s="4">
        <v>1.885421474720802</v>
      </c>
      <c r="AQ68" s="4">
        <v>1.6862632687346135</v>
      </c>
    </row>
    <row r="69" spans="1:43" x14ac:dyDescent="0.25">
      <c r="A69" s="23">
        <f t="shared" si="151"/>
        <v>196</v>
      </c>
      <c r="B69" s="37" t="str">
        <f t="shared" ref="B69:J69" si="178">IF(B50="", "", EXP($I$3*SQRT((1-B$44)/(B$44*$A12)+(1-B$44*B50)/(B$44*B50*$A12))))</f>
        <v/>
      </c>
      <c r="C69" s="38" t="str">
        <f t="shared" si="178"/>
        <v/>
      </c>
      <c r="D69" s="38" t="str">
        <f t="shared" si="178"/>
        <v/>
      </c>
      <c r="E69" s="38" t="str">
        <f t="shared" si="178"/>
        <v/>
      </c>
      <c r="F69" s="38" t="str">
        <f t="shared" si="178"/>
        <v/>
      </c>
      <c r="G69" s="38">
        <f t="shared" si="178"/>
        <v>2.0856076422262482</v>
      </c>
      <c r="H69" s="38">
        <f t="shared" si="178"/>
        <v>1.6861036865631289</v>
      </c>
      <c r="I69" s="38">
        <f t="shared" si="178"/>
        <v>1.4288482508455846</v>
      </c>
      <c r="J69" s="39">
        <f t="shared" si="178"/>
        <v>1.1982411230126917</v>
      </c>
      <c r="K69" s="5">
        <f t="shared" si="140"/>
        <v>69</v>
      </c>
      <c r="M69" s="23">
        <f t="shared" si="141"/>
        <v>196</v>
      </c>
      <c r="N69" s="69" t="str">
        <f t="shared" si="157"/>
        <v/>
      </c>
      <c r="O69" s="69" t="str">
        <f t="shared" si="158"/>
        <v/>
      </c>
      <c r="P69" s="69" t="str">
        <f t="shared" si="159"/>
        <v/>
      </c>
      <c r="Q69" s="69" t="str">
        <f t="shared" si="160"/>
        <v/>
      </c>
      <c r="R69" s="69" t="str">
        <f t="shared" si="161"/>
        <v/>
      </c>
      <c r="S69" s="69">
        <f t="shared" si="162"/>
        <v>2.2675856622979267</v>
      </c>
      <c r="T69" s="69">
        <f t="shared" si="163"/>
        <v>1.7567733034341309</v>
      </c>
      <c r="U69" s="69">
        <f t="shared" si="164"/>
        <v>1.4559411316382254</v>
      </c>
      <c r="V69" s="69">
        <f t="shared" si="165"/>
        <v>1.2066238567334169</v>
      </c>
      <c r="X69" s="23">
        <f t="shared" si="154"/>
        <v>196</v>
      </c>
      <c r="Y69" s="4" t="str">
        <f t="shared" si="166"/>
        <v/>
      </c>
      <c r="Z69" s="4" t="str">
        <f t="shared" si="167"/>
        <v/>
      </c>
      <c r="AA69" s="4" t="str">
        <f t="shared" si="168"/>
        <v/>
      </c>
      <c r="AB69" s="4" t="str">
        <f t="shared" si="169"/>
        <v/>
      </c>
      <c r="AC69" s="4" t="str">
        <f t="shared" si="170"/>
        <v/>
      </c>
      <c r="AD69" s="4">
        <f t="shared" si="171"/>
        <v>0.18145665277929712</v>
      </c>
      <c r="AE69" s="4">
        <f t="shared" si="172"/>
        <v>7.0510034699517332E-2</v>
      </c>
      <c r="AF69" s="4">
        <f t="shared" si="173"/>
        <v>2.7044460877706733E-2</v>
      </c>
      <c r="AG69" s="4">
        <f t="shared" si="174"/>
        <v>8.3677457822826096E-3</v>
      </c>
      <c r="AK69" s="10">
        <v>500</v>
      </c>
      <c r="AL69" s="10">
        <v>1.1753045081153162</v>
      </c>
      <c r="AM69" s="10">
        <v>1.1132565673447017</v>
      </c>
      <c r="AO69" s="10">
        <v>20</v>
      </c>
      <c r="AP69" s="4">
        <v>1.8765225405765813</v>
      </c>
      <c r="AQ69" s="4">
        <v>1.6215997232830548</v>
      </c>
    </row>
    <row r="70" spans="1:43" x14ac:dyDescent="0.25">
      <c r="A70" s="23">
        <f t="shared" si="151"/>
        <v>256</v>
      </c>
      <c r="B70" s="37" t="str">
        <f t="shared" ref="B70:J70" si="179">IF(B51="", "", EXP($I$3*SQRT((1-B$44)/(B$44*$A13)+(1-B$44*B51)/(B$44*B51*$A13))))</f>
        <v/>
      </c>
      <c r="C70" s="38" t="str">
        <f t="shared" si="179"/>
        <v/>
      </c>
      <c r="D70" s="38" t="str">
        <f t="shared" si="179"/>
        <v/>
      </c>
      <c r="E70" s="38" t="str">
        <f t="shared" si="179"/>
        <v/>
      </c>
      <c r="F70" s="38">
        <f t="shared" si="179"/>
        <v>2.7124268762680779</v>
      </c>
      <c r="G70" s="38">
        <f t="shared" si="179"/>
        <v>1.9208376481604132</v>
      </c>
      <c r="H70" s="38">
        <f t="shared" si="179"/>
        <v>1.5889288644494968</v>
      </c>
      <c r="I70" s="38">
        <f t="shared" si="179"/>
        <v>1.3713261497603784</v>
      </c>
      <c r="J70" s="39">
        <f t="shared" si="179"/>
        <v>1.1734146880733236</v>
      </c>
      <c r="K70" s="5">
        <f t="shared" si="140"/>
        <v>70</v>
      </c>
      <c r="M70" s="23">
        <f t="shared" si="141"/>
        <v>256</v>
      </c>
      <c r="N70" s="69" t="str">
        <f t="shared" si="157"/>
        <v/>
      </c>
      <c r="O70" s="69" t="str">
        <f t="shared" si="158"/>
        <v/>
      </c>
      <c r="P70" s="69" t="str">
        <f t="shared" si="159"/>
        <v/>
      </c>
      <c r="Q70" s="69" t="str">
        <f t="shared" si="160"/>
        <v/>
      </c>
      <c r="R70" s="69">
        <f t="shared" si="161"/>
        <v>3.1595696591344895</v>
      </c>
      <c r="S70" s="69">
        <f t="shared" si="162"/>
        <v>2.0470018706339066</v>
      </c>
      <c r="T70" s="69">
        <f t="shared" si="163"/>
        <v>1.6372924445508914</v>
      </c>
      <c r="U70" s="69">
        <f t="shared" si="164"/>
        <v>1.3891554224380958</v>
      </c>
      <c r="V70" s="69">
        <f t="shared" si="165"/>
        <v>1.1786243771609748</v>
      </c>
      <c r="X70" s="23">
        <f t="shared" si="154"/>
        <v>256</v>
      </c>
      <c r="Y70" s="4" t="str">
        <f t="shared" si="166"/>
        <v/>
      </c>
      <c r="Z70" s="4" t="str">
        <f t="shared" si="167"/>
        <v/>
      </c>
      <c r="AA70" s="4" t="str">
        <f t="shared" si="168"/>
        <v/>
      </c>
      <c r="AB70" s="4" t="str">
        <f t="shared" si="169"/>
        <v/>
      </c>
      <c r="AC70" s="4">
        <f t="shared" si="170"/>
        <v>0.44574762515003696</v>
      </c>
      <c r="AD70" s="4">
        <f t="shared" si="171"/>
        <v>0.12584512222881528</v>
      </c>
      <c r="AE70" s="4">
        <f t="shared" si="172"/>
        <v>4.8271142256871125E-2</v>
      </c>
      <c r="AF70" s="4">
        <f t="shared" si="173"/>
        <v>1.7802409504189542E-2</v>
      </c>
      <c r="AG70" s="4">
        <f t="shared" si="174"/>
        <v>5.201777434877819E-3</v>
      </c>
      <c r="AK70" s="10">
        <v>980</v>
      </c>
      <c r="AL70" s="10">
        <v>1.1252175057966545</v>
      </c>
      <c r="AM70" s="10">
        <v>1.080399518406951</v>
      </c>
      <c r="AO70" s="10">
        <v>20</v>
      </c>
      <c r="AP70" s="4">
        <v>1.8765225405765813</v>
      </c>
      <c r="AQ70" s="4">
        <v>1.7061929306793169</v>
      </c>
    </row>
    <row r="71" spans="1:43" x14ac:dyDescent="0.25">
      <c r="A71" s="23">
        <f t="shared" si="151"/>
        <v>324</v>
      </c>
      <c r="B71" s="37" t="str">
        <f t="shared" ref="B71:J71" si="180">IF(B52="", "", EXP($I$3*SQRT((1-B$44)/(B$44*$A14)+(1-B$44*B52)/(B$44*B52*$A14))))</f>
        <v/>
      </c>
      <c r="C71" s="38" t="str">
        <f t="shared" si="180"/>
        <v/>
      </c>
      <c r="D71" s="38" t="str">
        <f t="shared" si="180"/>
        <v/>
      </c>
      <c r="E71" s="38" t="str">
        <f t="shared" si="180"/>
        <v/>
      </c>
      <c r="F71" s="38">
        <f t="shared" si="180"/>
        <v>2.4587742480470198</v>
      </c>
      <c r="G71" s="38">
        <f t="shared" si="180"/>
        <v>1.7993237459861013</v>
      </c>
      <c r="H71" s="38">
        <f t="shared" si="180"/>
        <v>1.5158436972832674</v>
      </c>
      <c r="I71" s="38">
        <f t="shared" si="180"/>
        <v>1.3274152117589528</v>
      </c>
      <c r="J71" s="39">
        <f t="shared" si="180"/>
        <v>1.1541166624242811</v>
      </c>
      <c r="K71" s="5">
        <f t="shared" si="140"/>
        <v>71</v>
      </c>
      <c r="M71" s="23">
        <f t="shared" si="141"/>
        <v>324</v>
      </c>
      <c r="N71" s="69" t="str">
        <f t="shared" si="157"/>
        <v/>
      </c>
      <c r="O71" s="69" t="str">
        <f t="shared" si="158"/>
        <v/>
      </c>
      <c r="P71" s="69" t="str">
        <f t="shared" si="159"/>
        <v/>
      </c>
      <c r="Q71" s="69" t="str">
        <f t="shared" si="160"/>
        <v/>
      </c>
      <c r="R71" s="69">
        <f t="shared" si="161"/>
        <v>2.7804412292682406</v>
      </c>
      <c r="S71" s="69">
        <f t="shared" si="162"/>
        <v>1.8903818821042675</v>
      </c>
      <c r="T71" s="69">
        <f t="shared" si="163"/>
        <v>1.5500098260347053</v>
      </c>
      <c r="U71" s="69">
        <f t="shared" si="164"/>
        <v>1.3393362831748015</v>
      </c>
      <c r="V71" s="69">
        <f t="shared" si="165"/>
        <v>1.157296972766628</v>
      </c>
      <c r="X71" s="23">
        <f t="shared" si="154"/>
        <v>324</v>
      </c>
      <c r="Y71" s="4" t="str">
        <f t="shared" si="166"/>
        <v/>
      </c>
      <c r="Z71" s="4" t="str">
        <f t="shared" si="167"/>
        <v/>
      </c>
      <c r="AA71" s="4" t="str">
        <f t="shared" si="168"/>
        <v/>
      </c>
      <c r="AB71" s="4" t="str">
        <f t="shared" si="169"/>
        <v/>
      </c>
      <c r="AC71" s="4">
        <f t="shared" si="170"/>
        <v>0.32070302283187635</v>
      </c>
      <c r="AD71" s="4">
        <f t="shared" si="171"/>
        <v>9.0854720035503878E-2</v>
      </c>
      <c r="AE71" s="4">
        <f t="shared" si="172"/>
        <v>3.4109695219077807E-2</v>
      </c>
      <c r="AF71" s="4">
        <f t="shared" si="173"/>
        <v>1.1905217735797224E-2</v>
      </c>
      <c r="AG71" s="4">
        <f t="shared" si="174"/>
        <v>3.1758198375271274E-3</v>
      </c>
      <c r="AK71" s="10">
        <v>2000</v>
      </c>
      <c r="AL71" s="10">
        <v>1.0876522540576581</v>
      </c>
      <c r="AM71" s="10">
        <v>1.05602237362236</v>
      </c>
      <c r="AO71" s="10">
        <v>20</v>
      </c>
      <c r="AP71" s="4">
        <v>1.8765225405765813</v>
      </c>
      <c r="AQ71" s="4">
        <v>1.7327093561526266</v>
      </c>
    </row>
    <row r="72" spans="1:43" x14ac:dyDescent="0.25">
      <c r="A72" s="23">
        <f t="shared" si="151"/>
        <v>400</v>
      </c>
      <c r="B72" s="37" t="str">
        <f t="shared" ref="B72:J72" si="181">IF(B53="", "", EXP($I$3*SQRT((1-B$44)/(B$44*$A15)+(1-B$44*B53)/(B$44*B53*$A15))))</f>
        <v/>
      </c>
      <c r="C72" s="38" t="str">
        <f t="shared" si="181"/>
        <v/>
      </c>
      <c r="D72" s="38" t="str">
        <f t="shared" si="181"/>
        <v/>
      </c>
      <c r="E72" s="38" t="str">
        <f t="shared" si="181"/>
        <v/>
      </c>
      <c r="F72" s="38">
        <f t="shared" si="181"/>
        <v>2.2698859722752749</v>
      </c>
      <c r="G72" s="38">
        <f t="shared" si="181"/>
        <v>1.7060586072482058</v>
      </c>
      <c r="H72" s="38">
        <f t="shared" si="181"/>
        <v>1.4588867162195112</v>
      </c>
      <c r="I72" s="38">
        <f t="shared" si="181"/>
        <v>1.292795212128717</v>
      </c>
      <c r="J72" s="39">
        <f t="shared" si="181"/>
        <v>1.1386850968408957</v>
      </c>
      <c r="K72" s="5">
        <f t="shared" si="140"/>
        <v>72</v>
      </c>
      <c r="M72" s="23">
        <f t="shared" si="141"/>
        <v>400</v>
      </c>
      <c r="N72" s="69" t="str">
        <f t="shared" si="157"/>
        <v/>
      </c>
      <c r="O72" s="69" t="str">
        <f t="shared" si="158"/>
        <v/>
      </c>
      <c r="P72" s="69" t="str">
        <f t="shared" si="159"/>
        <v/>
      </c>
      <c r="Q72" s="69" t="str">
        <f t="shared" si="160"/>
        <v/>
      </c>
      <c r="R72" s="69">
        <f t="shared" si="161"/>
        <v>2.5101654507516504</v>
      </c>
      <c r="S72" s="69">
        <f t="shared" si="162"/>
        <v>1.773758916529232</v>
      </c>
      <c r="T72" s="69">
        <f t="shared" si="163"/>
        <v>1.4835459632666814</v>
      </c>
      <c r="U72" s="69">
        <f t="shared" si="164"/>
        <v>1.3007704752469966</v>
      </c>
      <c r="V72" s="69">
        <f t="shared" si="165"/>
        <v>1.1405132507985152</v>
      </c>
      <c r="X72" s="23">
        <f t="shared" si="154"/>
        <v>400</v>
      </c>
      <c r="Y72" s="4" t="str">
        <f t="shared" si="166"/>
        <v/>
      </c>
      <c r="Z72" s="4" t="str">
        <f t="shared" si="167"/>
        <v/>
      </c>
      <c r="AA72" s="4" t="str">
        <f t="shared" si="168"/>
        <v/>
      </c>
      <c r="AB72" s="4" t="str">
        <f t="shared" si="169"/>
        <v/>
      </c>
      <c r="AC72" s="4">
        <f t="shared" si="170"/>
        <v>0.23960037271206414</v>
      </c>
      <c r="AD72" s="4">
        <f t="shared" si="171"/>
        <v>6.7565985849915133E-2</v>
      </c>
      <c r="AE72" s="4">
        <f t="shared" si="172"/>
        <v>2.4623259132952269E-2</v>
      </c>
      <c r="AF72" s="4">
        <f t="shared" si="173"/>
        <v>7.9654258404258105E-3</v>
      </c>
      <c r="AG72" s="4">
        <f t="shared" si="174"/>
        <v>1.8254537837971707E-3</v>
      </c>
      <c r="AK72" s="10">
        <v>6.4</v>
      </c>
      <c r="AL72" s="10">
        <v>2.5494875807614035</v>
      </c>
      <c r="AM72" s="10">
        <v>2.3566393851600953</v>
      </c>
      <c r="AO72" s="10">
        <v>24.5</v>
      </c>
      <c r="AP72" s="4">
        <v>1.7919450424855299</v>
      </c>
      <c r="AQ72" s="4">
        <v>1.6492125108281783</v>
      </c>
    </row>
    <row r="73" spans="1:43" x14ac:dyDescent="0.25">
      <c r="A73" s="23">
        <f t="shared" si="151"/>
        <v>625</v>
      </c>
      <c r="B73" s="37" t="str">
        <f t="shared" ref="B73:J73" si="182">IF(B54="", "", EXP($I$3*SQRT((1-B$44)/(B$44*$A16)+(1-B$44*B54)/(B$44*B54*$A16))))</f>
        <v/>
      </c>
      <c r="C73" s="38" t="str">
        <f t="shared" si="182"/>
        <v/>
      </c>
      <c r="D73" s="38" t="str">
        <f t="shared" si="182"/>
        <v/>
      </c>
      <c r="E73" s="38">
        <f t="shared" si="182"/>
        <v>2.5093473496394676</v>
      </c>
      <c r="F73" s="38">
        <f t="shared" si="182"/>
        <v>1.9583376031061994</v>
      </c>
      <c r="G73" s="38">
        <f t="shared" si="182"/>
        <v>1.5464943576988548</v>
      </c>
      <c r="H73" s="38">
        <f t="shared" si="182"/>
        <v>1.3596102229631812</v>
      </c>
      <c r="I73" s="38">
        <f t="shared" si="182"/>
        <v>1.231587707799263</v>
      </c>
      <c r="J73" s="39">
        <f t="shared" si="182"/>
        <v>1.1109225140530006</v>
      </c>
      <c r="K73" s="5">
        <f t="shared" si="140"/>
        <v>73</v>
      </c>
      <c r="M73" s="23">
        <f t="shared" si="141"/>
        <v>625</v>
      </c>
      <c r="N73" s="69" t="str">
        <f t="shared" si="157"/>
        <v/>
      </c>
      <c r="O73" s="69" t="str">
        <f t="shared" si="158"/>
        <v/>
      </c>
      <c r="P73" s="69" t="str">
        <f t="shared" si="159"/>
        <v/>
      </c>
      <c r="Q73" s="69">
        <f t="shared" si="160"/>
        <v>2.847822591950758</v>
      </c>
      <c r="R73" s="69">
        <f t="shared" si="161"/>
        <v>2.088150892817497</v>
      </c>
      <c r="S73" s="69">
        <f t="shared" si="162"/>
        <v>1.5816692570264159</v>
      </c>
      <c r="T73" s="69">
        <f t="shared" si="163"/>
        <v>1.3710105759723461</v>
      </c>
      <c r="U73" s="69">
        <f t="shared" si="164"/>
        <v>1.2341289403068951</v>
      </c>
      <c r="V73" s="69">
        <f t="shared" si="165"/>
        <v>1.1109135611319609</v>
      </c>
      <c r="X73" s="23">
        <f t="shared" si="154"/>
        <v>625</v>
      </c>
      <c r="Y73" s="4" t="str">
        <f t="shared" si="166"/>
        <v/>
      </c>
      <c r="Z73" s="4" t="str">
        <f t="shared" si="167"/>
        <v/>
      </c>
      <c r="AA73" s="4" t="str">
        <f t="shared" si="168"/>
        <v/>
      </c>
      <c r="AB73" s="4">
        <f t="shared" si="169"/>
        <v>0.3374862307740143</v>
      </c>
      <c r="AC73" s="4">
        <f t="shared" si="170"/>
        <v>0.12950650995120871</v>
      </c>
      <c r="AD73" s="4">
        <f t="shared" si="171"/>
        <v>3.5120953978722502E-2</v>
      </c>
      <c r="AE73" s="4">
        <f t="shared" si="172"/>
        <v>1.138679061773118E-2</v>
      </c>
      <c r="AF73" s="4">
        <f t="shared" si="173"/>
        <v>2.5377053823294471E-3</v>
      </c>
      <c r="AG73" s="4">
        <f t="shared" si="174"/>
        <v>-9.867352450676492E-6</v>
      </c>
      <c r="AK73" s="10">
        <v>10</v>
      </c>
      <c r="AL73" s="10">
        <v>2.2395900646091231</v>
      </c>
      <c r="AM73" s="10">
        <v>2.0239642543245737</v>
      </c>
      <c r="AO73" s="10">
        <v>25</v>
      </c>
      <c r="AP73" s="4">
        <v>1.7839855938160216</v>
      </c>
      <c r="AQ73" s="4">
        <v>1.6393252714526378</v>
      </c>
    </row>
    <row r="74" spans="1:43" x14ac:dyDescent="0.25">
      <c r="A74" s="23">
        <f t="shared" si="151"/>
        <v>900</v>
      </c>
      <c r="B74" s="37" t="str">
        <f t="shared" ref="B74:J74" si="183">IF(B55="", "", EXP($I$3*SQRT((1-B$44)/(B$44*$A17)+(1-B$44*B55)/(B$44*B55*$A17))))</f>
        <v/>
      </c>
      <c r="C74" s="38" t="str">
        <f t="shared" si="183"/>
        <v/>
      </c>
      <c r="D74" s="38" t="str">
        <f t="shared" si="183"/>
        <v/>
      </c>
      <c r="E74" s="38">
        <f t="shared" si="183"/>
        <v>2.1878252941756227</v>
      </c>
      <c r="F74" s="38">
        <f t="shared" si="183"/>
        <v>1.7690504752839147</v>
      </c>
      <c r="G74" s="38">
        <f t="shared" si="183"/>
        <v>1.4457039265572493</v>
      </c>
      <c r="H74" s="38">
        <f t="shared" si="183"/>
        <v>1.2956487837129083</v>
      </c>
      <c r="I74" s="38">
        <f t="shared" si="183"/>
        <v>1.1915523934951693</v>
      </c>
      <c r="J74" s="39">
        <f t="shared" si="183"/>
        <v>1.0924232979068895</v>
      </c>
      <c r="K74" s="5">
        <f t="shared" si="140"/>
        <v>74</v>
      </c>
      <c r="M74" s="23">
        <f t="shared" si="141"/>
        <v>900</v>
      </c>
      <c r="N74" s="69" t="str">
        <f t="shared" si="157"/>
        <v/>
      </c>
      <c r="O74" s="69" t="str">
        <f t="shared" si="158"/>
        <v/>
      </c>
      <c r="P74" s="69" t="str">
        <f t="shared" si="159"/>
        <v/>
      </c>
      <c r="Q74" s="69">
        <f t="shared" si="160"/>
        <v>2.3919977996626209</v>
      </c>
      <c r="R74" s="69">
        <f t="shared" si="161"/>
        <v>1.8470056835722177</v>
      </c>
      <c r="S74" s="69">
        <f t="shared" si="162"/>
        <v>1.4653107230299671</v>
      </c>
      <c r="T74" s="69">
        <f t="shared" si="163"/>
        <v>1.3007704752469966</v>
      </c>
      <c r="U74" s="69">
        <f t="shared" si="164"/>
        <v>1.1916090159875301</v>
      </c>
      <c r="V74" s="69">
        <f t="shared" si="165"/>
        <v>1.091608453607579</v>
      </c>
      <c r="X74" s="23">
        <f t="shared" si="154"/>
        <v>900</v>
      </c>
      <c r="Y74" s="4" t="str">
        <f t="shared" si="166"/>
        <v/>
      </c>
      <c r="Z74" s="4" t="str">
        <f t="shared" si="167"/>
        <v/>
      </c>
      <c r="AA74" s="4" t="str">
        <f t="shared" si="168"/>
        <v/>
      </c>
      <c r="AB74" s="4">
        <f t="shared" si="169"/>
        <v>0.2036344349998398</v>
      </c>
      <c r="AC74" s="4">
        <f t="shared" si="170"/>
        <v>7.7802044751843713E-2</v>
      </c>
      <c r="AD74" s="4">
        <f t="shared" si="171"/>
        <v>1.9581924144834728E-2</v>
      </c>
      <c r="AE74" s="4">
        <f t="shared" si="172"/>
        <v>5.115702233097208E-3</v>
      </c>
      <c r="AF74" s="4">
        <f t="shared" si="173"/>
        <v>5.5116470924154726E-5</v>
      </c>
      <c r="AG74" s="4">
        <f t="shared" si="174"/>
        <v>-8.1522002506906333E-4</v>
      </c>
      <c r="AK74" s="10">
        <v>14.4</v>
      </c>
      <c r="AL74" s="10">
        <v>2.0329917205076025</v>
      </c>
      <c r="AM74" s="10">
        <v>1.821870411154823</v>
      </c>
      <c r="AO74" s="10">
        <v>25.6</v>
      </c>
      <c r="AP74" s="4">
        <v>1.7747437903807017</v>
      </c>
      <c r="AQ74" s="4">
        <v>1.5890213022940203</v>
      </c>
    </row>
    <row r="75" spans="1:43" x14ac:dyDescent="0.25">
      <c r="A75" s="23">
        <f t="shared" si="151"/>
        <v>1600</v>
      </c>
      <c r="B75" s="37" t="str">
        <f t="shared" ref="B75:J75" si="184">IF(B56="", "", EXP($I$3*SQRT((1-B$44)/(B$44*$A18)+(1-B$44*B56)/(B$44*B56*$A18))))</f>
        <v/>
      </c>
      <c r="C75" s="38" t="str">
        <f t="shared" si="184"/>
        <v/>
      </c>
      <c r="D75" s="38">
        <f t="shared" si="184"/>
        <v>2.2875853157419259</v>
      </c>
      <c r="E75" s="38">
        <f t="shared" si="184"/>
        <v>1.8315704087645059</v>
      </c>
      <c r="F75" s="38">
        <f t="shared" si="184"/>
        <v>1.5509671618836316</v>
      </c>
      <c r="G75" s="38">
        <f t="shared" si="184"/>
        <v>1.3255757176230942</v>
      </c>
      <c r="H75" s="38">
        <f t="shared" si="184"/>
        <v>1.2180788602814823</v>
      </c>
      <c r="I75" s="38">
        <f t="shared" si="184"/>
        <v>1.1423458690897712</v>
      </c>
      <c r="J75" s="39">
        <f t="shared" si="184"/>
        <v>1.0693080658310621</v>
      </c>
      <c r="K75" s="5">
        <f t="shared" si="140"/>
        <v>75</v>
      </c>
      <c r="M75" s="23">
        <f t="shared" si="141"/>
        <v>1600</v>
      </c>
      <c r="N75" s="69" t="str">
        <f t="shared" si="157"/>
        <v/>
      </c>
      <c r="O75" s="69" t="str">
        <f t="shared" si="158"/>
        <v/>
      </c>
      <c r="P75" s="69">
        <f t="shared" si="159"/>
        <v>2.5278405595831592</v>
      </c>
      <c r="Q75" s="69">
        <f t="shared" si="160"/>
        <v>1.9234042966199949</v>
      </c>
      <c r="R75" s="69">
        <f t="shared" si="161"/>
        <v>1.584350166709257</v>
      </c>
      <c r="S75" s="69">
        <f t="shared" si="162"/>
        <v>1.3318254076752072</v>
      </c>
      <c r="T75" s="69">
        <f t="shared" si="163"/>
        <v>1.2180090160859571</v>
      </c>
      <c r="U75" s="69">
        <f t="shared" si="164"/>
        <v>1.1405132507985152</v>
      </c>
      <c r="V75" s="69">
        <f t="shared" si="165"/>
        <v>1.0679481498642689</v>
      </c>
      <c r="X75" s="23">
        <f t="shared" si="154"/>
        <v>1600</v>
      </c>
      <c r="Y75" s="4" t="str">
        <f t="shared" si="166"/>
        <v/>
      </c>
      <c r="Z75" s="4" t="str">
        <f t="shared" si="167"/>
        <v/>
      </c>
      <c r="AA75" s="4">
        <f t="shared" si="168"/>
        <v>0.23960650326615118</v>
      </c>
      <c r="AB75" s="4">
        <f t="shared" si="169"/>
        <v>9.1646376614896941E-2</v>
      </c>
      <c r="AC75" s="4">
        <f t="shared" si="170"/>
        <v>3.3335135601509247E-2</v>
      </c>
      <c r="AD75" s="4">
        <f t="shared" si="171"/>
        <v>6.2426659762038206E-3</v>
      </c>
      <c r="AE75" s="4">
        <f t="shared" si="172"/>
        <v>-7.1445324835384127E-5</v>
      </c>
      <c r="AF75" s="4">
        <f t="shared" si="173"/>
        <v>-1.8330040641079126E-3</v>
      </c>
      <c r="AG75" s="4">
        <f t="shared" si="174"/>
        <v>-1.3600076541608885E-3</v>
      </c>
      <c r="AK75" s="10">
        <v>19.600000000000001</v>
      </c>
      <c r="AL75" s="10">
        <v>1.885421474720802</v>
      </c>
      <c r="AM75" s="10">
        <v>1.6862632687346135</v>
      </c>
      <c r="AO75" s="10">
        <v>28.8</v>
      </c>
      <c r="AP75" s="4">
        <v>1.7304354504804844</v>
      </c>
      <c r="AQ75" s="4">
        <v>1.5075639899267923</v>
      </c>
    </row>
    <row r="76" spans="1:43" x14ac:dyDescent="0.25">
      <c r="A76" s="23">
        <f t="shared" si="151"/>
        <v>2500</v>
      </c>
      <c r="B76" s="37" t="str">
        <f t="shared" ref="B76:J76" si="185">IF(B57="", "", EXP($I$3*SQRT((1-B$44)/(B$44*$A19)+(1-B$44*B57)/(B$44*B57*$A19))))</f>
        <v/>
      </c>
      <c r="C76" s="38">
        <f t="shared" si="185"/>
        <v>2.7740378665393228</v>
      </c>
      <c r="D76" s="38">
        <f t="shared" si="185"/>
        <v>1.9703691635795395</v>
      </c>
      <c r="E76" s="38">
        <f t="shared" si="185"/>
        <v>1.639247589893787</v>
      </c>
      <c r="F76" s="38">
        <f t="shared" si="185"/>
        <v>1.4291474077416255</v>
      </c>
      <c r="G76" s="38">
        <f t="shared" si="185"/>
        <v>1.2564505086462758</v>
      </c>
      <c r="H76" s="38">
        <f t="shared" si="185"/>
        <v>1.1727571756096435</v>
      </c>
      <c r="I76" s="38">
        <f t="shared" si="185"/>
        <v>1.1132564349521039</v>
      </c>
      <c r="J76" s="39">
        <f t="shared" si="185"/>
        <v>1.0554428482755165</v>
      </c>
      <c r="K76" s="5">
        <f t="shared" si="140"/>
        <v>76</v>
      </c>
      <c r="M76" s="23">
        <f t="shared" si="141"/>
        <v>2500</v>
      </c>
      <c r="N76" s="69" t="str">
        <f t="shared" si="157"/>
        <v/>
      </c>
      <c r="O76" s="69">
        <f t="shared" si="158"/>
        <v>3.2375012844127604</v>
      </c>
      <c r="P76" s="69">
        <f t="shared" si="159"/>
        <v>2.0999054577741378</v>
      </c>
      <c r="Q76" s="69">
        <f t="shared" si="160"/>
        <v>1.6875492857841983</v>
      </c>
      <c r="R76" s="69">
        <f t="shared" si="161"/>
        <v>1.4450435608719541</v>
      </c>
      <c r="S76" s="69">
        <f t="shared" si="162"/>
        <v>1.2576443285072358</v>
      </c>
      <c r="T76" s="69">
        <f t="shared" si="163"/>
        <v>1.1709016081517465</v>
      </c>
      <c r="U76" s="69">
        <f t="shared" si="164"/>
        <v>1.1109135611319609</v>
      </c>
      <c r="V76" s="69">
        <f t="shared" si="165"/>
        <v>1.0539988430410923</v>
      </c>
      <c r="X76" s="23">
        <f t="shared" si="154"/>
        <v>2500</v>
      </c>
      <c r="Y76" s="4" t="str">
        <f t="shared" si="166"/>
        <v/>
      </c>
      <c r="Z76" s="4">
        <f t="shared" si="167"/>
        <v>0.46210471222192062</v>
      </c>
      <c r="AA76" s="4">
        <f t="shared" si="168"/>
        <v>0.12924186717834818</v>
      </c>
      <c r="AB76" s="4">
        <f t="shared" si="169"/>
        <v>4.8224014331560427E-2</v>
      </c>
      <c r="AC76" s="4">
        <f t="shared" si="170"/>
        <v>1.5877600510558976E-2</v>
      </c>
      <c r="AD76" s="4">
        <f t="shared" si="171"/>
        <v>1.191261530622878E-3</v>
      </c>
      <c r="AE76" s="4">
        <f t="shared" si="172"/>
        <v>-1.8561314096470216E-3</v>
      </c>
      <c r="AF76" s="4">
        <f t="shared" si="173"/>
        <v>-2.3430062127407503E-3</v>
      </c>
      <c r="AG76" s="4">
        <f t="shared" si="174"/>
        <v>-1.4440357901730483E-3</v>
      </c>
      <c r="AK76" s="10">
        <v>25.6</v>
      </c>
      <c r="AL76" s="10">
        <v>1.7747437903807017</v>
      </c>
      <c r="AM76" s="10">
        <v>1.5890213022940203</v>
      </c>
      <c r="AO76" s="10">
        <v>31.25</v>
      </c>
      <c r="AP76" s="4">
        <v>1.7012180324612651</v>
      </c>
      <c r="AQ76" s="4">
        <v>1.5465483030476934</v>
      </c>
    </row>
    <row r="77" spans="1:43" x14ac:dyDescent="0.25">
      <c r="A77" s="23">
        <f t="shared" si="151"/>
        <v>4900</v>
      </c>
      <c r="B77" s="37" t="str">
        <f t="shared" ref="B77:J77" si="186">IF(B58="", "", EXP($I$3*SQRT((1-B$44)/(B$44*$A20)+(1-B$44*B58)/(B$44*B58*$A20))))</f>
        <v/>
      </c>
      <c r="C77" s="38">
        <f t="shared" si="186"/>
        <v>2.1329657045577735</v>
      </c>
      <c r="D77" s="38">
        <f t="shared" si="186"/>
        <v>1.6491325420074658</v>
      </c>
      <c r="E77" s="38">
        <f t="shared" si="186"/>
        <v>1.4368652801719131</v>
      </c>
      <c r="F77" s="38">
        <f t="shared" si="186"/>
        <v>1.2975259425218255</v>
      </c>
      <c r="G77" s="38">
        <f t="shared" si="186"/>
        <v>1.1800135098296765</v>
      </c>
      <c r="H77" s="38">
        <f t="shared" si="186"/>
        <v>1.1220380830229852</v>
      </c>
      <c r="I77" s="38">
        <f t="shared" si="186"/>
        <v>1.0803994924453042</v>
      </c>
      <c r="J77" s="39">
        <f t="shared" si="186"/>
        <v>1.039599734762219</v>
      </c>
      <c r="K77" s="5">
        <f t="shared" si="140"/>
        <v>77</v>
      </c>
      <c r="M77" s="23">
        <f t="shared" si="141"/>
        <v>4900</v>
      </c>
      <c r="N77" s="69" t="str">
        <f t="shared" si="157"/>
        <v/>
      </c>
      <c r="O77" s="69">
        <f t="shared" si="158"/>
        <v>2.3143853849468647</v>
      </c>
      <c r="P77" s="69">
        <f t="shared" si="159"/>
        <v>1.6988016458572317</v>
      </c>
      <c r="Q77" s="69">
        <f t="shared" si="160"/>
        <v>1.4532022003725547</v>
      </c>
      <c r="R77" s="69">
        <f t="shared" si="161"/>
        <v>1.3007704752469966</v>
      </c>
      <c r="S77" s="69">
        <f t="shared" si="162"/>
        <v>1.1779117132564443</v>
      </c>
      <c r="T77" s="69">
        <f t="shared" si="163"/>
        <v>1.1192913425881412</v>
      </c>
      <c r="U77" s="69">
        <f t="shared" si="164"/>
        <v>1.078024827694402</v>
      </c>
      <c r="V77" s="69">
        <f t="shared" si="165"/>
        <v>1.0382797444303737</v>
      </c>
      <c r="X77" s="23">
        <f t="shared" si="154"/>
        <v>4900</v>
      </c>
      <c r="Y77" s="4" t="str">
        <f t="shared" si="166"/>
        <v/>
      </c>
      <c r="Z77" s="4">
        <f t="shared" si="167"/>
        <v>0.18096680693977341</v>
      </c>
      <c r="AA77" s="4">
        <f t="shared" si="168"/>
        <v>4.9589135029053377E-2</v>
      </c>
      <c r="AB77" s="4">
        <f t="shared" si="169"/>
        <v>1.6317950319764574E-2</v>
      </c>
      <c r="AC77" s="4">
        <f t="shared" si="170"/>
        <v>3.240341830537341E-3</v>
      </c>
      <c r="AD77" s="4">
        <f t="shared" si="171"/>
        <v>-2.1023340691761483E-3</v>
      </c>
      <c r="AE77" s="4">
        <f t="shared" si="172"/>
        <v>-2.7468543966755465E-3</v>
      </c>
      <c r="AF77" s="4">
        <f t="shared" si="173"/>
        <v>-2.3746907125490324E-3</v>
      </c>
      <c r="AG77" s="4">
        <f t="shared" si="174"/>
        <v>-1.3199961245913272E-3</v>
      </c>
      <c r="AK77" s="10">
        <v>32.4</v>
      </c>
      <c r="AL77" s="10">
        <v>1.6886611470050683</v>
      </c>
      <c r="AM77" s="10">
        <v>1.5159001308156275</v>
      </c>
      <c r="AO77" s="10">
        <v>32</v>
      </c>
      <c r="AP77" s="4">
        <v>1.6929519121748386</v>
      </c>
      <c r="AQ77" s="4">
        <v>1.3477585108841024</v>
      </c>
    </row>
    <row r="78" spans="1:43" x14ac:dyDescent="0.25">
      <c r="A78" s="23">
        <f t="shared" si="151"/>
        <v>10000</v>
      </c>
      <c r="B78" s="40">
        <f t="shared" ref="B78:J78" si="187">IF(B59="", "", EXP($I$3*SQRT((1-B$44)/(B$44*$A21)+(1-B$44*B59)/(B$44*B59*$A21))))</f>
        <v>2.1194978174918839</v>
      </c>
      <c r="C78" s="41">
        <f t="shared" si="187"/>
        <v>1.7325903007589194</v>
      </c>
      <c r="D78" s="41">
        <f t="shared" si="187"/>
        <v>1.4334276607673164</v>
      </c>
      <c r="E78" s="41">
        <f t="shared" si="187"/>
        <v>1.296137215580625</v>
      </c>
      <c r="F78" s="41">
        <f t="shared" si="187"/>
        <v>1.2037697164862444</v>
      </c>
      <c r="G78" s="41">
        <f t="shared" si="187"/>
        <v>1.12440023108093</v>
      </c>
      <c r="H78" s="41">
        <f t="shared" si="187"/>
        <v>1.0847287671103889</v>
      </c>
      <c r="I78" s="41">
        <f t="shared" si="187"/>
        <v>1.0560223690801465</v>
      </c>
      <c r="J78" s="42">
        <f t="shared" si="187"/>
        <v>1.027718938890269</v>
      </c>
      <c r="K78" s="5">
        <f t="shared" si="140"/>
        <v>78</v>
      </c>
      <c r="M78" s="23">
        <f t="shared" si="141"/>
        <v>10000</v>
      </c>
      <c r="N78" s="69">
        <f t="shared" si="157"/>
        <v>2.2959034345905933</v>
      </c>
      <c r="O78" s="69">
        <f t="shared" si="158"/>
        <v>1.7993057784636719</v>
      </c>
      <c r="P78" s="69">
        <f t="shared" si="159"/>
        <v>1.4491050540848094</v>
      </c>
      <c r="Q78" s="69">
        <f t="shared" si="160"/>
        <v>1.2990570756453306</v>
      </c>
      <c r="R78" s="69">
        <f t="shared" si="161"/>
        <v>1.2020996468146699</v>
      </c>
      <c r="S78" s="69">
        <f t="shared" si="162"/>
        <v>1.1214474256545581</v>
      </c>
      <c r="T78" s="69">
        <f t="shared" si="163"/>
        <v>1.0820820708946925</v>
      </c>
      <c r="U78" s="69">
        <f t="shared" si="164"/>
        <v>1.0539988430410923</v>
      </c>
      <c r="V78" s="69">
        <f t="shared" si="165"/>
        <v>1.0266444579508001</v>
      </c>
      <c r="X78" s="23">
        <f t="shared" si="154"/>
        <v>10000</v>
      </c>
      <c r="Y78" s="4">
        <f t="shared" si="166"/>
        <v>0.17596986372959345</v>
      </c>
      <c r="Z78" s="4">
        <f t="shared" si="167"/>
        <v>6.6596422311045345E-2</v>
      </c>
      <c r="AA78" s="4">
        <f t="shared" si="168"/>
        <v>1.5659423947871565E-2</v>
      </c>
      <c r="AB78" s="4">
        <f t="shared" si="169"/>
        <v>2.9159334431256845E-3</v>
      </c>
      <c r="AC78" s="4">
        <f t="shared" si="170"/>
        <v>-1.6708865800743045E-3</v>
      </c>
      <c r="AD78" s="4">
        <f t="shared" si="171"/>
        <v>-2.9529045315679348E-3</v>
      </c>
      <c r="AE78" s="4">
        <f t="shared" si="172"/>
        <v>-2.6467166140919929E-3</v>
      </c>
      <c r="AF78" s="4">
        <f t="shared" si="173"/>
        <v>-2.0235305812676962E-3</v>
      </c>
      <c r="AG78" s="4">
        <f t="shared" si="174"/>
        <v>-1.0744819274177697E-3</v>
      </c>
      <c r="AK78" s="10">
        <v>40</v>
      </c>
      <c r="AL78" s="10">
        <v>1.6197950323045616</v>
      </c>
      <c r="AM78" s="10">
        <v>1.4589227041337292</v>
      </c>
      <c r="AO78" s="10">
        <v>32</v>
      </c>
      <c r="AP78" s="4">
        <v>1.6929519121748386</v>
      </c>
      <c r="AQ78" s="4">
        <v>1.5510150311077477</v>
      </c>
    </row>
    <row r="79" spans="1:43" x14ac:dyDescent="0.25">
      <c r="A79" s="54" t="str">
        <f>CHAR(COLUMN(B64)+64)&amp;ROW(B64)&amp;" "</f>
        <v xml:space="preserve">B64 </v>
      </c>
      <c r="B79" s="43" t="str">
        <f ca="1">_xlfn.FORMULATEXT(B64)</f>
        <v>=IF(B45="", "", EXP($I$3*SQRT((1-B$44)/(B$44*$A7)+(1-B$44*B45)/(B$44*B45*$A7))))</v>
      </c>
      <c r="C79" s="63"/>
      <c r="D79" s="63"/>
      <c r="E79" s="63"/>
      <c r="F79" s="63"/>
      <c r="G79" s="63"/>
      <c r="H79" s="63"/>
      <c r="I79" s="63"/>
      <c r="J79" s="63"/>
      <c r="K79" s="5">
        <f t="shared" si="140"/>
        <v>79</v>
      </c>
      <c r="M79" s="54" t="str">
        <f>CHAR(COLUMN(N64)+64)&amp;ROW(N64)&amp;" "</f>
        <v xml:space="preserve">N64 </v>
      </c>
      <c r="N79" s="67" t="str">
        <f ca="1">_xlfn.FORMULATEXT(N64)</f>
        <v>=IF(N7="","", EXP($I$3*SQRT($R$62*(1-B$6)/(B$6*$A7))))</v>
      </c>
      <c r="X79" s="1" t="str">
        <f t="shared" si="154"/>
        <v xml:space="preserve">N64 </v>
      </c>
      <c r="Y79" s="18" t="str">
        <f ca="1">_xlfn.FORMULATEXT(Y64)</f>
        <v>=IF(N64="","",N64-N7)</v>
      </c>
      <c r="AK79" s="10">
        <v>62.5</v>
      </c>
      <c r="AL79" s="10">
        <v>1.4958360258436492</v>
      </c>
      <c r="AM79" s="10">
        <v>1.3596237853546149</v>
      </c>
      <c r="AO79" s="10">
        <v>32.4</v>
      </c>
      <c r="AP79" s="4">
        <v>1.6886611470050683</v>
      </c>
      <c r="AQ79" s="4">
        <v>1.5159001308156275</v>
      </c>
    </row>
    <row r="80" spans="1:43" x14ac:dyDescent="0.25">
      <c r="A80" s="33" t="s">
        <v>43</v>
      </c>
      <c r="B80" s="33" t="s">
        <v>44</v>
      </c>
      <c r="C80" s="33" t="s">
        <v>45</v>
      </c>
      <c r="D80" s="33" t="s">
        <v>46</v>
      </c>
      <c r="E80" s="33" t="s">
        <v>47</v>
      </c>
      <c r="F80" s="33" t="s">
        <v>48</v>
      </c>
      <c r="G80" s="33" t="s">
        <v>49</v>
      </c>
      <c r="H80" s="33" t="s">
        <v>50</v>
      </c>
      <c r="I80" s="33" t="s">
        <v>51</v>
      </c>
      <c r="J80" s="33" t="s">
        <v>52</v>
      </c>
      <c r="K80" s="5">
        <f t="shared" si="140"/>
        <v>80</v>
      </c>
      <c r="AK80" s="10">
        <v>90</v>
      </c>
      <c r="AL80" s="10">
        <v>1.4131966882030409</v>
      </c>
      <c r="AM80" s="10">
        <v>1.2956547730138994</v>
      </c>
      <c r="AO80" s="10">
        <v>39.200000000000003</v>
      </c>
      <c r="AP80" s="4">
        <v>1.6260875289832724</v>
      </c>
      <c r="AQ80" s="4">
        <v>1.4288966707605186</v>
      </c>
    </row>
    <row r="81" spans="1:43" x14ac:dyDescent="0.25">
      <c r="A81" s="10" t="s">
        <v>80</v>
      </c>
      <c r="E81" s="54" t="str">
        <f>+E62</f>
        <v xml:space="preserve">N*P1 ≥ </v>
      </c>
      <c r="F81" s="59">
        <f>+F62</f>
        <v>5</v>
      </c>
      <c r="G81" s="18">
        <f>MAX(B83:J97)</f>
        <v>2.7756098017768753</v>
      </c>
      <c r="H81" s="10" t="str">
        <f>H62</f>
        <v>Max Min RRss</v>
      </c>
      <c r="J81" s="5" t="str">
        <f>J62</f>
        <v>V0b</v>
      </c>
      <c r="K81" s="5">
        <f t="shared" ref="K81:K100" si="188">K80+1</f>
        <v>81</v>
      </c>
      <c r="AK81" s="10">
        <v>160</v>
      </c>
      <c r="AL81" s="10">
        <v>1.3098975161522808</v>
      </c>
      <c r="AM81" s="10">
        <v>1.2180804614107925</v>
      </c>
      <c r="AO81" s="10">
        <v>40</v>
      </c>
      <c r="AP81" s="4">
        <v>1.6197950323045616</v>
      </c>
      <c r="AQ81" s="4">
        <v>1.4589227041337292</v>
      </c>
    </row>
    <row r="82" spans="1:43" x14ac:dyDescent="0.25">
      <c r="A82" s="10" t="str">
        <f t="shared" ref="A82:H82" si="189">A63</f>
        <v>N \ P1</v>
      </c>
      <c r="B82" s="1">
        <f t="shared" si="189"/>
        <v>1E-3</v>
      </c>
      <c r="C82" s="1">
        <f t="shared" si="189"/>
        <v>2E-3</v>
      </c>
      <c r="D82" s="1">
        <f t="shared" si="189"/>
        <v>5.0000000000000001E-3</v>
      </c>
      <c r="E82" s="1">
        <f t="shared" si="189"/>
        <v>0.01</v>
      </c>
      <c r="F82" s="1">
        <f t="shared" si="189"/>
        <v>0.02</v>
      </c>
      <c r="G82" s="1">
        <f t="shared" si="189"/>
        <v>0.05</v>
      </c>
      <c r="H82" s="1">
        <f t="shared" si="189"/>
        <v>0.1</v>
      </c>
      <c r="I82" s="1">
        <f>I63</f>
        <v>0.2</v>
      </c>
      <c r="J82" s="1">
        <f>J63</f>
        <v>0.5</v>
      </c>
      <c r="K82" s="5">
        <f t="shared" ref="K82:K99" si="190">K81+1</f>
        <v>82</v>
      </c>
      <c r="AK82" s="10">
        <v>250</v>
      </c>
      <c r="AL82" s="10">
        <v>1.2479180129218246</v>
      </c>
      <c r="AM82" s="10">
        <v>1.1727577395613935</v>
      </c>
      <c r="AO82" s="10">
        <v>45</v>
      </c>
      <c r="AP82" s="4">
        <v>1.5843483603843875</v>
      </c>
      <c r="AQ82" s="4">
        <v>1.4457287988851324</v>
      </c>
    </row>
    <row r="83" spans="1:43" x14ac:dyDescent="0.25">
      <c r="A83" s="23">
        <f t="shared" ref="A83:A97" si="191">A64</f>
        <v>16</v>
      </c>
      <c r="B83" s="34" t="str">
        <f t="shared" ref="B83:J83" si="192">IF(B64="", "", EXP($I$3*SQRT((1-B$63)/(B$63*$A7)+(1-B$63*B64)/(B$63*B64*$A7))))</f>
        <v/>
      </c>
      <c r="C83" s="35" t="str">
        <f t="shared" si="192"/>
        <v/>
      </c>
      <c r="D83" s="35" t="str">
        <f t="shared" si="192"/>
        <v/>
      </c>
      <c r="E83" s="35" t="str">
        <f t="shared" si="192"/>
        <v/>
      </c>
      <c r="F83" s="35" t="str">
        <f t="shared" si="192"/>
        <v/>
      </c>
      <c r="G83" s="35" t="str">
        <f t="shared" si="192"/>
        <v/>
      </c>
      <c r="H83" s="35" t="str">
        <f t="shared" si="192"/>
        <v/>
      </c>
      <c r="I83" s="35" t="str">
        <f t="shared" si="192"/>
        <v/>
      </c>
      <c r="J83" s="36">
        <f t="shared" si="192"/>
        <v>1.7024578368572989</v>
      </c>
      <c r="K83" s="5">
        <f t="shared" si="190"/>
        <v>83</v>
      </c>
      <c r="AK83" s="10">
        <v>490</v>
      </c>
      <c r="AL83" s="10">
        <v>1.1770842949441604</v>
      </c>
      <c r="AM83" s="10">
        <v>1.1220381969848168</v>
      </c>
      <c r="AO83" s="10">
        <v>49</v>
      </c>
      <c r="AP83" s="4">
        <v>1.5599897098685869</v>
      </c>
      <c r="AQ83" s="4">
        <v>1.4368842500527901</v>
      </c>
    </row>
    <row r="84" spans="1:43" x14ac:dyDescent="0.25">
      <c r="A84" s="23">
        <f t="shared" si="191"/>
        <v>36</v>
      </c>
      <c r="B84" s="37" t="str">
        <f t="shared" ref="B84:J84" si="193">IF(B65="", "", EXP($I$3*SQRT((1-B$63)/(B$63*$A8)+(1-B$63*B65)/(B$63*B65*$A8))))</f>
        <v/>
      </c>
      <c r="C84" s="38" t="str">
        <f t="shared" si="193"/>
        <v/>
      </c>
      <c r="D84" s="38" t="str">
        <f t="shared" si="193"/>
        <v/>
      </c>
      <c r="E84" s="38" t="str">
        <f t="shared" si="193"/>
        <v/>
      </c>
      <c r="F84" s="38" t="str">
        <f t="shared" si="193"/>
        <v/>
      </c>
      <c r="G84" s="38" t="str">
        <f t="shared" si="193"/>
        <v/>
      </c>
      <c r="H84" s="38" t="str">
        <f t="shared" si="193"/>
        <v/>
      </c>
      <c r="I84" s="38">
        <f t="shared" si="193"/>
        <v>2.1289122101062339</v>
      </c>
      <c r="J84" s="39">
        <f t="shared" si="193"/>
        <v>1.4649309245236075</v>
      </c>
      <c r="K84" s="5">
        <f t="shared" si="190"/>
        <v>84</v>
      </c>
      <c r="AK84" s="10">
        <v>1000</v>
      </c>
      <c r="AL84" s="10">
        <v>1.1239590064609122</v>
      </c>
      <c r="AM84" s="10">
        <v>1.0847287875087845</v>
      </c>
      <c r="AO84" s="10">
        <v>50</v>
      </c>
      <c r="AP84" s="4">
        <v>1.554361529739871</v>
      </c>
      <c r="AQ84" s="4">
        <v>1.277874530527102</v>
      </c>
    </row>
    <row r="85" spans="1:43" x14ac:dyDescent="0.25">
      <c r="A85" s="23">
        <f t="shared" si="191"/>
        <v>64</v>
      </c>
      <c r="B85" s="37" t="str">
        <f t="shared" ref="B85:J85" si="194">IF(B66="", "", EXP($I$3*SQRT((1-B$63)/(B$63*$A9)+(1-B$63*B66)/(B$63*B66*$A9))))</f>
        <v/>
      </c>
      <c r="C85" s="38" t="str">
        <f t="shared" si="194"/>
        <v/>
      </c>
      <c r="D85" s="38" t="str">
        <f t="shared" si="194"/>
        <v/>
      </c>
      <c r="E85" s="38" t="str">
        <f t="shared" si="194"/>
        <v/>
      </c>
      <c r="F85" s="38" t="str">
        <f t="shared" si="194"/>
        <v/>
      </c>
      <c r="G85" s="38" t="str">
        <f t="shared" si="194"/>
        <v/>
      </c>
      <c r="H85" s="38">
        <f t="shared" si="194"/>
        <v>2.356864221221167</v>
      </c>
      <c r="I85" s="38">
        <f t="shared" si="194"/>
        <v>1.801822535437491</v>
      </c>
      <c r="J85" s="39">
        <f t="shared" si="194"/>
        <v>1.3477950151068454</v>
      </c>
      <c r="K85" s="5">
        <f t="shared" si="190"/>
        <v>85</v>
      </c>
      <c r="AK85" s="10">
        <v>5</v>
      </c>
      <c r="AL85" s="10">
        <v>2.7530450811531626</v>
      </c>
      <c r="AM85" s="10">
        <v>2.6874491540895589</v>
      </c>
      <c r="AO85" s="10">
        <v>50</v>
      </c>
      <c r="AP85" s="4">
        <v>1.554361529739871</v>
      </c>
      <c r="AQ85" s="4">
        <v>1.4291659603613951</v>
      </c>
    </row>
    <row r="86" spans="1:43" x14ac:dyDescent="0.25">
      <c r="A86" s="23">
        <f t="shared" si="191"/>
        <v>100</v>
      </c>
      <c r="B86" s="37" t="str">
        <f t="shared" ref="B86:J86" si="195">IF(B67="", "", EXP($I$3*SQRT((1-B$63)/(B$63*$A10)+(1-B$63*B67)/(B$63*B67*$A10))))</f>
        <v/>
      </c>
      <c r="C86" s="38" t="str">
        <f t="shared" si="195"/>
        <v/>
      </c>
      <c r="D86" s="38" t="str">
        <f t="shared" si="195"/>
        <v/>
      </c>
      <c r="E86" s="38" t="str">
        <f t="shared" si="195"/>
        <v/>
      </c>
      <c r="F86" s="38" t="str">
        <f t="shared" si="195"/>
        <v/>
      </c>
      <c r="G86" s="38">
        <f t="shared" si="195"/>
        <v>2.6877210678730279</v>
      </c>
      <c r="H86" s="38">
        <f t="shared" si="195"/>
        <v>2.0240553605298319</v>
      </c>
      <c r="I86" s="38">
        <f t="shared" si="195"/>
        <v>1.621628134045159</v>
      </c>
      <c r="J86" s="39">
        <f t="shared" si="195"/>
        <v>1.2778848220769143</v>
      </c>
      <c r="K86" s="5">
        <f t="shared" si="190"/>
        <v>86</v>
      </c>
      <c r="AK86" s="10">
        <v>7.2</v>
      </c>
      <c r="AL86" s="10">
        <v>2.4608709009609688</v>
      </c>
      <c r="AM86" s="10">
        <v>2.3223108308773823</v>
      </c>
      <c r="AO86" s="10">
        <v>50</v>
      </c>
      <c r="AP86" s="4">
        <v>1.554361529739871</v>
      </c>
      <c r="AQ86" s="4">
        <v>1.4334456301369378</v>
      </c>
    </row>
    <row r="87" spans="1:43" x14ac:dyDescent="0.25">
      <c r="A87" s="23">
        <f t="shared" si="191"/>
        <v>144</v>
      </c>
      <c r="B87" s="37" t="str">
        <f t="shared" ref="B87:J87" si="196">IF(B68="", "", EXP($I$3*SQRT((1-B$63)/(B$63*$A11)+(1-B$63*B68)/(B$63*B68*$A11))))</f>
        <v/>
      </c>
      <c r="C87" s="38" t="str">
        <f t="shared" si="196"/>
        <v/>
      </c>
      <c r="D87" s="38" t="str">
        <f t="shared" si="196"/>
        <v/>
      </c>
      <c r="E87" s="38" t="str">
        <f t="shared" si="196"/>
        <v/>
      </c>
      <c r="F87" s="38" t="str">
        <f t="shared" si="196"/>
        <v/>
      </c>
      <c r="G87" s="38">
        <f t="shared" si="196"/>
        <v>2.3224517596560772</v>
      </c>
      <c r="H87" s="38">
        <f t="shared" si="196"/>
        <v>1.8219112576825052</v>
      </c>
      <c r="I87" s="38">
        <f t="shared" si="196"/>
        <v>1.5075753871953439</v>
      </c>
      <c r="J87" s="39">
        <f t="shared" si="196"/>
        <v>1.2314044770085117</v>
      </c>
      <c r="K87" s="5">
        <f t="shared" si="190"/>
        <v>87</v>
      </c>
      <c r="AK87" s="10">
        <v>9.8000000000000007</v>
      </c>
      <c r="AL87" s="10">
        <v>2.2521750579665447</v>
      </c>
      <c r="AM87" s="10">
        <v>2.0861290095186296</v>
      </c>
      <c r="AO87" s="10">
        <v>51.2</v>
      </c>
      <c r="AP87" s="4">
        <v>1.5478265878603634</v>
      </c>
      <c r="AQ87" s="4">
        <v>1.3713530129339062</v>
      </c>
    </row>
    <row r="88" spans="1:43" x14ac:dyDescent="0.25">
      <c r="A88" s="23">
        <f t="shared" si="191"/>
        <v>196</v>
      </c>
      <c r="B88" s="37" t="str">
        <f t="shared" ref="B88:J88" si="197">IF(B69="", "", EXP($I$3*SQRT((1-B$63)/(B$63*$A12)+(1-B$63*B69)/(B$63*B69*$A12))))</f>
        <v/>
      </c>
      <c r="C88" s="38" t="str">
        <f t="shared" si="197"/>
        <v/>
      </c>
      <c r="D88" s="38" t="str">
        <f t="shared" si="197"/>
        <v/>
      </c>
      <c r="E88" s="38" t="str">
        <f t="shared" si="197"/>
        <v/>
      </c>
      <c r="F88" s="38" t="str">
        <f t="shared" si="197"/>
        <v/>
      </c>
      <c r="G88" s="38">
        <f t="shared" si="197"/>
        <v>2.086205400833212</v>
      </c>
      <c r="H88" s="38">
        <f t="shared" si="197"/>
        <v>1.6862832403995867</v>
      </c>
      <c r="I88" s="38">
        <f t="shared" si="197"/>
        <v>1.42890181754823</v>
      </c>
      <c r="J88" s="39">
        <f t="shared" si="197"/>
        <v>1.1982576011426789</v>
      </c>
      <c r="K88" s="5">
        <f t="shared" si="190"/>
        <v>88</v>
      </c>
      <c r="AK88" s="10">
        <v>12.8</v>
      </c>
      <c r="AL88" s="10">
        <v>2.0956531757207268</v>
      </c>
      <c r="AM88" s="10">
        <v>1.9211567484050913</v>
      </c>
      <c r="AO88" s="10">
        <v>62.5</v>
      </c>
      <c r="AP88" s="4">
        <v>1.4958360258436492</v>
      </c>
      <c r="AQ88" s="4">
        <v>1.3596237853546149</v>
      </c>
    </row>
    <row r="89" spans="1:43" x14ac:dyDescent="0.25">
      <c r="A89" s="23">
        <f t="shared" si="191"/>
        <v>256</v>
      </c>
      <c r="B89" s="37" t="str">
        <f t="shared" ref="B89:J89" si="198">IF(B70="", "", EXP($I$3*SQRT((1-B$63)/(B$63*$A13)+(1-B$63*B70)/(B$63*B70*$A13))))</f>
        <v/>
      </c>
      <c r="C89" s="38" t="str">
        <f t="shared" si="198"/>
        <v/>
      </c>
      <c r="D89" s="38" t="str">
        <f t="shared" si="198"/>
        <v/>
      </c>
      <c r="E89" s="38" t="str">
        <f t="shared" si="198"/>
        <v/>
      </c>
      <c r="F89" s="38">
        <f t="shared" si="198"/>
        <v>2.714046367740552</v>
      </c>
      <c r="G89" s="38">
        <f t="shared" si="198"/>
        <v>1.9212001151316642</v>
      </c>
      <c r="H89" s="38">
        <f t="shared" si="198"/>
        <v>1.5890317972087435</v>
      </c>
      <c r="I89" s="38">
        <f t="shared" si="198"/>
        <v>1.3713555606612036</v>
      </c>
      <c r="J89" s="39">
        <f t="shared" si="198"/>
        <v>1.173423287348238</v>
      </c>
      <c r="K89" s="5">
        <f t="shared" si="190"/>
        <v>89</v>
      </c>
      <c r="AK89" s="10">
        <v>16.2</v>
      </c>
      <c r="AL89" s="10">
        <v>1.9739139339739793</v>
      </c>
      <c r="AM89" s="10">
        <v>1.7995271620687636</v>
      </c>
      <c r="AO89" s="10">
        <v>64.8</v>
      </c>
      <c r="AP89" s="4">
        <v>1.4869569669869898</v>
      </c>
      <c r="AQ89" s="4">
        <v>1.3274310654390042</v>
      </c>
    </row>
    <row r="90" spans="1:43" x14ac:dyDescent="0.25">
      <c r="A90" s="23">
        <f t="shared" si="191"/>
        <v>324</v>
      </c>
      <c r="B90" s="37" t="str">
        <f t="shared" ref="B90:J90" si="199">IF(B71="", "", EXP($I$3*SQRT((1-B$63)/(B$63*$A14)+(1-B$63*B71)/(B$63*B71*$A14))))</f>
        <v/>
      </c>
      <c r="C90" s="38" t="str">
        <f t="shared" si="199"/>
        <v/>
      </c>
      <c r="D90" s="38" t="str">
        <f t="shared" si="199"/>
        <v/>
      </c>
      <c r="E90" s="38" t="str">
        <f t="shared" si="199"/>
        <v/>
      </c>
      <c r="F90" s="38">
        <f t="shared" si="199"/>
        <v>2.4598872731560526</v>
      </c>
      <c r="G90" s="38">
        <f t="shared" si="199"/>
        <v>1.7995528574278383</v>
      </c>
      <c r="H90" s="38">
        <f t="shared" si="199"/>
        <v>1.5159059864398203</v>
      </c>
      <c r="I90" s="38">
        <f t="shared" si="199"/>
        <v>1.3274324222303449</v>
      </c>
      <c r="J90" s="39">
        <f t="shared" si="199"/>
        <v>1.1541214996091145</v>
      </c>
      <c r="K90" s="5">
        <f t="shared" si="190"/>
        <v>90</v>
      </c>
      <c r="AK90" s="10">
        <v>20</v>
      </c>
      <c r="AL90" s="10">
        <v>1.8765225405765813</v>
      </c>
      <c r="AM90" s="10">
        <v>1.7061929306793169</v>
      </c>
      <c r="AO90" s="10">
        <v>72</v>
      </c>
      <c r="AP90" s="4">
        <v>1.4619679414498925</v>
      </c>
      <c r="AQ90" s="4">
        <v>1.2314008537983794</v>
      </c>
    </row>
    <row r="91" spans="1:43" x14ac:dyDescent="0.25">
      <c r="A91" s="23">
        <f t="shared" si="191"/>
        <v>400</v>
      </c>
      <c r="B91" s="37" t="str">
        <f t="shared" ref="B91:J91" si="200">IF(B72="", "", EXP($I$3*SQRT((1-B$63)/(B$63*$A15)+(1-B$63*B72)/(B$63*B72*$A15))))</f>
        <v/>
      </c>
      <c r="C91" s="38" t="str">
        <f t="shared" si="200"/>
        <v/>
      </c>
      <c r="D91" s="38" t="str">
        <f t="shared" si="200"/>
        <v/>
      </c>
      <c r="E91" s="38" t="str">
        <f t="shared" si="200"/>
        <v/>
      </c>
      <c r="F91" s="38">
        <f t="shared" si="200"/>
        <v>2.270665639353739</v>
      </c>
      <c r="G91" s="38">
        <f t="shared" si="200"/>
        <v>1.706208749864023</v>
      </c>
      <c r="H91" s="38">
        <f t="shared" si="200"/>
        <v>1.4589261396512534</v>
      </c>
      <c r="I91" s="38">
        <f t="shared" si="200"/>
        <v>1.2928058162397076</v>
      </c>
      <c r="J91" s="39">
        <f t="shared" si="200"/>
        <v>1.1386879845370583</v>
      </c>
      <c r="K91" s="5">
        <f t="shared" si="190"/>
        <v>91</v>
      </c>
      <c r="AK91" s="10">
        <v>31.25</v>
      </c>
      <c r="AL91" s="10">
        <v>1.7012180324612651</v>
      </c>
      <c r="AM91" s="10">
        <v>1.5465483030476934</v>
      </c>
      <c r="AO91" s="10">
        <v>80</v>
      </c>
      <c r="AP91" s="4">
        <v>1.4382612702882906</v>
      </c>
      <c r="AQ91" s="4">
        <v>1.2928050494065708</v>
      </c>
    </row>
    <row r="92" spans="1:43" x14ac:dyDescent="0.25">
      <c r="A92" s="23">
        <f t="shared" si="191"/>
        <v>625</v>
      </c>
      <c r="B92" s="37" t="str">
        <f t="shared" ref="B92:J92" si="201">IF(B73="", "", EXP($I$3*SQRT((1-B$63)/(B$63*$A16)+(1-B$63*B73)/(B$63*B73*$A16))))</f>
        <v/>
      </c>
      <c r="C92" s="38" t="str">
        <f t="shared" si="201"/>
        <v/>
      </c>
      <c r="D92" s="38" t="str">
        <f t="shared" si="201"/>
        <v/>
      </c>
      <c r="E92" s="38">
        <f t="shared" si="201"/>
        <v>2.5104881432819925</v>
      </c>
      <c r="F92" s="38">
        <f t="shared" si="201"/>
        <v>1.9586849197692167</v>
      </c>
      <c r="G92" s="38">
        <f t="shared" si="201"/>
        <v>1.5465537132667877</v>
      </c>
      <c r="H92" s="38">
        <f t="shared" si="201"/>
        <v>1.3596248624771345</v>
      </c>
      <c r="I92" s="38">
        <f t="shared" si="201"/>
        <v>1.2315914596390003</v>
      </c>
      <c r="J92" s="39">
        <f t="shared" si="201"/>
        <v>1.1109234792497316</v>
      </c>
      <c r="K92" s="5">
        <f t="shared" si="190"/>
        <v>92</v>
      </c>
      <c r="AK92" s="10">
        <v>45</v>
      </c>
      <c r="AL92" s="10">
        <v>1.5843483603843875</v>
      </c>
      <c r="AM92" s="10">
        <v>1.4457287988851324</v>
      </c>
      <c r="AO92" s="10">
        <v>80</v>
      </c>
      <c r="AP92" s="4">
        <v>1.4382612702882906</v>
      </c>
      <c r="AQ92" s="4">
        <v>1.3255827416990034</v>
      </c>
    </row>
    <row r="93" spans="1:43" x14ac:dyDescent="0.25">
      <c r="A93" s="23">
        <f t="shared" si="191"/>
        <v>900</v>
      </c>
      <c r="B93" s="37" t="str">
        <f t="shared" ref="B93:J93" si="202">IF(B74="", "", EXP($I$3*SQRT((1-B$63)/(B$63*$A17)+(1-B$63*B74)/(B$63*B74*$A17))))</f>
        <v/>
      </c>
      <c r="C93" s="38" t="str">
        <f t="shared" si="202"/>
        <v/>
      </c>
      <c r="D93" s="38" t="str">
        <f t="shared" si="202"/>
        <v/>
      </c>
      <c r="E93" s="38">
        <f t="shared" si="202"/>
        <v>2.1884399163624826</v>
      </c>
      <c r="F93" s="38">
        <f t="shared" si="202"/>
        <v>1.7692217460708366</v>
      </c>
      <c r="G93" s="38">
        <f t="shared" si="202"/>
        <v>1.4457309644686929</v>
      </c>
      <c r="H93" s="38">
        <f t="shared" si="202"/>
        <v>1.2956551797574078</v>
      </c>
      <c r="I93" s="38">
        <f t="shared" si="202"/>
        <v>1.1915539806148867</v>
      </c>
      <c r="J93" s="39">
        <f t="shared" si="202"/>
        <v>1.0924236910074583</v>
      </c>
      <c r="K93" s="5">
        <f t="shared" si="190"/>
        <v>93</v>
      </c>
      <c r="AK93" s="10">
        <v>80</v>
      </c>
      <c r="AL93" s="10">
        <v>1.4382612702882906</v>
      </c>
      <c r="AM93" s="10">
        <v>1.3255827416990034</v>
      </c>
      <c r="AO93" s="10">
        <v>90</v>
      </c>
      <c r="AP93" s="4">
        <v>1.4131966882030409</v>
      </c>
      <c r="AQ93" s="4">
        <v>1.2956547730138994</v>
      </c>
    </row>
    <row r="94" spans="1:43" x14ac:dyDescent="0.25">
      <c r="A94" s="23">
        <f t="shared" si="191"/>
        <v>1600</v>
      </c>
      <c r="B94" s="37" t="str">
        <f t="shared" ref="B94:J94" si="203">IF(B75="", "", EXP($I$3*SQRT((1-B$63)/(B$63*$A18)+(1-B$63*B75)/(B$63*B75*$A18))))</f>
        <v/>
      </c>
      <c r="C94" s="38" t="str">
        <f t="shared" si="203"/>
        <v/>
      </c>
      <c r="D94" s="38">
        <f t="shared" si="203"/>
        <v>2.2883282481741185</v>
      </c>
      <c r="E94" s="38">
        <f t="shared" si="203"/>
        <v>1.8317806899691194</v>
      </c>
      <c r="F94" s="38">
        <f t="shared" si="203"/>
        <v>1.5510196600359387</v>
      </c>
      <c r="G94" s="38">
        <f t="shared" si="203"/>
        <v>1.3255832240737395</v>
      </c>
      <c r="H94" s="38">
        <f t="shared" si="203"/>
        <v>1.2180805456043919</v>
      </c>
      <c r="I94" s="38">
        <f t="shared" si="203"/>
        <v>1.142346270719502</v>
      </c>
      <c r="J94" s="39">
        <f t="shared" si="203"/>
        <v>1.0693081606970014</v>
      </c>
      <c r="K94" s="5">
        <f t="shared" si="190"/>
        <v>94</v>
      </c>
      <c r="AK94" s="10">
        <v>125</v>
      </c>
      <c r="AL94" s="10">
        <v>1.3506090162306326</v>
      </c>
      <c r="AM94" s="10">
        <v>1.256453066976613</v>
      </c>
      <c r="AO94" s="10">
        <v>98</v>
      </c>
      <c r="AP94" s="4">
        <v>1.3959725212427649</v>
      </c>
      <c r="AQ94" s="4">
        <v>1.1982561109511343</v>
      </c>
    </row>
    <row r="95" spans="1:43" x14ac:dyDescent="0.25">
      <c r="A95" s="23">
        <f t="shared" si="191"/>
        <v>2500</v>
      </c>
      <c r="B95" s="37" t="str">
        <f t="shared" ref="B95:J95" si="204">IF(B76="", "", EXP($I$3*SQRT((1-B$63)/(B$63*$A19)+(1-B$63*B76)/(B$63*B76*$A19))))</f>
        <v/>
      </c>
      <c r="C95" s="38">
        <f t="shared" si="204"/>
        <v>2.7756098017768753</v>
      </c>
      <c r="D95" s="38">
        <f t="shared" si="204"/>
        <v>1.9707018328997374</v>
      </c>
      <c r="E95" s="38">
        <f t="shared" si="204"/>
        <v>1.6393334088265916</v>
      </c>
      <c r="F95" s="38">
        <f t="shared" si="204"/>
        <v>1.4291674705495476</v>
      </c>
      <c r="G95" s="38">
        <f t="shared" si="204"/>
        <v>1.2564532117826035</v>
      </c>
      <c r="H95" s="38">
        <f t="shared" si="204"/>
        <v>1.1727577637392135</v>
      </c>
      <c r="I95" s="38">
        <f t="shared" si="204"/>
        <v>1.113256571744214</v>
      </c>
      <c r="J95" s="39">
        <f t="shared" si="204"/>
        <v>1.0554428796785258</v>
      </c>
      <c r="K95" s="5">
        <f t="shared" si="190"/>
        <v>95</v>
      </c>
      <c r="AK95" s="10">
        <v>245</v>
      </c>
      <c r="AL95" s="10">
        <v>1.2504350115933089</v>
      </c>
      <c r="AM95" s="10">
        <v>1.1800140473256204</v>
      </c>
      <c r="AO95" s="10">
        <v>98</v>
      </c>
      <c r="AP95" s="4">
        <v>1.3959725212427649</v>
      </c>
      <c r="AQ95" s="4">
        <v>1.2975301334164593</v>
      </c>
    </row>
    <row r="96" spans="1:43" x14ac:dyDescent="0.25">
      <c r="A96" s="23">
        <f t="shared" si="191"/>
        <v>4900</v>
      </c>
      <c r="B96" s="37" t="str">
        <f t="shared" ref="B96:J96" si="205">IF(B77="", "", EXP($I$3*SQRT((1-B$63)/(B$63*$A20)+(1-B$63*B77)/(B$63*B77*$A20))))</f>
        <v/>
      </c>
      <c r="C96" s="38">
        <f t="shared" si="205"/>
        <v>2.1334810733417346</v>
      </c>
      <c r="D96" s="38">
        <f t="shared" si="205"/>
        <v>1.6492209072449482</v>
      </c>
      <c r="E96" s="38">
        <f t="shared" si="205"/>
        <v>1.4368857939497297</v>
      </c>
      <c r="F96" s="38">
        <f t="shared" si="205"/>
        <v>1.297530391423372</v>
      </c>
      <c r="G96" s="38">
        <f t="shared" si="205"/>
        <v>1.1800140698012547</v>
      </c>
      <c r="H96" s="38">
        <f t="shared" si="205"/>
        <v>1.1220382005505614</v>
      </c>
      <c r="I96" s="38">
        <f t="shared" si="205"/>
        <v>1.0803995190306059</v>
      </c>
      <c r="J96" s="39">
        <f t="shared" si="205"/>
        <v>1.0395997406696753</v>
      </c>
      <c r="K96" s="5">
        <f t="shared" si="190"/>
        <v>96</v>
      </c>
      <c r="AK96" s="10">
        <v>500</v>
      </c>
      <c r="AL96" s="10">
        <v>1.1753045081153162</v>
      </c>
      <c r="AM96" s="10">
        <v>1.1244003301861261</v>
      </c>
      <c r="AO96" s="10">
        <v>100</v>
      </c>
      <c r="AP96" s="4">
        <v>1.3919927969080108</v>
      </c>
      <c r="AQ96" s="4">
        <v>1.2961411422022049</v>
      </c>
    </row>
    <row r="97" spans="1:43" x14ac:dyDescent="0.25">
      <c r="A97" s="23">
        <f t="shared" si="191"/>
        <v>10000</v>
      </c>
      <c r="B97" s="40">
        <f t="shared" ref="B97:J97" si="206">IF(B78="", "", EXP($I$3*SQRT((1-B$63)/(B$63*$A21)+(1-B$63*B78)/(B$63*B78*$A21))))</f>
        <v>2.1199933310728611</v>
      </c>
      <c r="C97" s="41">
        <f t="shared" si="206"/>
        <v>1.7327227076946878</v>
      </c>
      <c r="D97" s="41">
        <f t="shared" si="206"/>
        <v>1.4334470750460699</v>
      </c>
      <c r="E97" s="41">
        <f t="shared" si="206"/>
        <v>1.2961413801196056</v>
      </c>
      <c r="F97" s="41">
        <f t="shared" si="206"/>
        <v>1.2037705701157744</v>
      </c>
      <c r="G97" s="41">
        <f t="shared" si="206"/>
        <v>1.1244003331605437</v>
      </c>
      <c r="H97" s="41">
        <f t="shared" si="206"/>
        <v>1.0847287879627785</v>
      </c>
      <c r="I97" s="41">
        <f t="shared" si="206"/>
        <v>1.0560223736994268</v>
      </c>
      <c r="J97" s="42">
        <f t="shared" si="206"/>
        <v>1.0277189398919111</v>
      </c>
      <c r="K97" s="5">
        <f t="shared" si="190"/>
        <v>97</v>
      </c>
      <c r="AK97" s="10">
        <v>5.12</v>
      </c>
      <c r="AL97" s="10">
        <v>2.7323797804370971</v>
      </c>
      <c r="AM97" s="10">
        <v>2.7138220339844525</v>
      </c>
      <c r="AO97" s="10">
        <v>125</v>
      </c>
      <c r="AP97" s="4">
        <v>1.3506090162306326</v>
      </c>
      <c r="AQ97" s="4">
        <v>1.2315912349245657</v>
      </c>
    </row>
    <row r="98" spans="1:43" x14ac:dyDescent="0.25">
      <c r="A98" s="54" t="str">
        <f>CHAR(COLUMN(B83)+64)&amp;ROW(B83)&amp;" "</f>
        <v xml:space="preserve">B83 </v>
      </c>
      <c r="B98" s="43" t="str">
        <f ca="1">_xlfn.FORMULATEXT(B83)</f>
        <v>=IF(B64="", "", EXP($I$3*SQRT((1-B$63)/(B$63*$A7)+(1-B$63*B64)/(B$63*B64*$A7))))</v>
      </c>
      <c r="C98" s="63"/>
      <c r="D98" s="63"/>
      <c r="E98" s="63"/>
      <c r="F98" s="63"/>
      <c r="G98" s="63"/>
      <c r="H98" s="63"/>
      <c r="I98" s="63"/>
      <c r="J98" s="63"/>
      <c r="K98" s="5">
        <f t="shared" si="190"/>
        <v>98</v>
      </c>
      <c r="AK98" s="10">
        <v>6.48</v>
      </c>
      <c r="AL98" s="10">
        <v>2.5398931381663084</v>
      </c>
      <c r="AM98" s="10">
        <v>2.4597382064363642</v>
      </c>
      <c r="AO98" s="10">
        <v>125</v>
      </c>
      <c r="AP98" s="4">
        <v>1.3506090162306326</v>
      </c>
      <c r="AQ98" s="4">
        <v>1.256453066976613</v>
      </c>
    </row>
    <row r="99" spans="1:43" x14ac:dyDescent="0.25">
      <c r="A99" s="33" t="s">
        <v>43</v>
      </c>
      <c r="B99" s="33" t="s">
        <v>44</v>
      </c>
      <c r="C99" s="33" t="s">
        <v>45</v>
      </c>
      <c r="D99" s="33" t="s">
        <v>46</v>
      </c>
      <c r="E99" s="33" t="s">
        <v>47</v>
      </c>
      <c r="F99" s="33" t="s">
        <v>48</v>
      </c>
      <c r="G99" s="33" t="s">
        <v>49</v>
      </c>
      <c r="H99" s="33" t="s">
        <v>50</v>
      </c>
      <c r="I99" s="33" t="s">
        <v>51</v>
      </c>
      <c r="J99" s="33" t="s">
        <v>52</v>
      </c>
      <c r="K99" s="5">
        <f t="shared" si="190"/>
        <v>99</v>
      </c>
      <c r="AK99" s="10">
        <v>8</v>
      </c>
      <c r="AL99" s="10">
        <v>2.3859038243496773</v>
      </c>
      <c r="AM99" s="10">
        <v>2.2705650780395863</v>
      </c>
      <c r="AO99" s="10">
        <v>128</v>
      </c>
      <c r="AP99" s="4">
        <v>1.3464759560874193</v>
      </c>
      <c r="AQ99" s="4">
        <v>1.173422599726097</v>
      </c>
    </row>
    <row r="100" spans="1:43" x14ac:dyDescent="0.25">
      <c r="A100" s="10" t="s">
        <v>53</v>
      </c>
      <c r="E100" s="54" t="str">
        <f>+E81</f>
        <v xml:space="preserve">N*P1 ≥ </v>
      </c>
      <c r="F100" s="59">
        <f>+F81</f>
        <v>5</v>
      </c>
      <c r="G100" s="18">
        <f>MAX(B102:J116)</f>
        <v>1.2454654248484645</v>
      </c>
      <c r="H100" s="10" t="s">
        <v>69</v>
      </c>
      <c r="J100" s="5" t="str">
        <f>J81</f>
        <v>V0b</v>
      </c>
      <c r="K100" s="5">
        <f t="shared" si="188"/>
        <v>100</v>
      </c>
      <c r="AK100" s="10">
        <v>12.5</v>
      </c>
      <c r="AL100" s="10">
        <v>2.1087230594797419</v>
      </c>
      <c r="AM100" s="10">
        <v>1.9586443828662883</v>
      </c>
      <c r="AO100" s="10">
        <v>160</v>
      </c>
      <c r="AP100" s="4">
        <v>1.3098975161522808</v>
      </c>
      <c r="AQ100" s="4">
        <v>1.2180804614107925</v>
      </c>
    </row>
    <row r="101" spans="1:43" x14ac:dyDescent="0.25">
      <c r="A101" s="10" t="str">
        <f t="shared" ref="A101:A116" si="207">A82</f>
        <v>N \ P1</v>
      </c>
      <c r="B101" s="1">
        <f>B82</f>
        <v>1E-3</v>
      </c>
      <c r="C101" s="1">
        <f>C82</f>
        <v>2E-3</v>
      </c>
      <c r="D101" s="1">
        <f>D82</f>
        <v>5.0000000000000001E-3</v>
      </c>
      <c r="E101" s="1">
        <f t="shared" ref="E101:J101" si="208">E82</f>
        <v>0.01</v>
      </c>
      <c r="F101" s="1">
        <f t="shared" si="208"/>
        <v>0.02</v>
      </c>
      <c r="G101" s="1">
        <f t="shared" si="208"/>
        <v>0.05</v>
      </c>
      <c r="H101" s="1">
        <f t="shared" si="208"/>
        <v>0.1</v>
      </c>
      <c r="I101" s="1">
        <f t="shared" si="208"/>
        <v>0.2</v>
      </c>
      <c r="J101" s="1">
        <f t="shared" si="208"/>
        <v>0.5</v>
      </c>
      <c r="K101" s="5">
        <f t="shared" ref="K101:K117" si="209">K100+1</f>
        <v>101</v>
      </c>
      <c r="AK101" s="10">
        <v>18</v>
      </c>
      <c r="AL101" s="10">
        <v>1.923935882899785</v>
      </c>
      <c r="AM101" s="10">
        <v>1.769203638820374</v>
      </c>
      <c r="AO101" s="10">
        <v>162</v>
      </c>
      <c r="AP101" s="4">
        <v>1.3079786276332617</v>
      </c>
      <c r="AQ101" s="4">
        <v>1.1541211529291009</v>
      </c>
    </row>
    <row r="102" spans="1:43" x14ac:dyDescent="0.25">
      <c r="A102" s="23">
        <f t="shared" si="207"/>
        <v>16</v>
      </c>
      <c r="B102" s="34" t="str">
        <f t="shared" ref="B102:J102" si="210">IF(B83="","",B7/B83)</f>
        <v/>
      </c>
      <c r="C102" s="34" t="str">
        <f t="shared" si="210"/>
        <v/>
      </c>
      <c r="D102" s="34" t="str">
        <f t="shared" si="210"/>
        <v/>
      </c>
      <c r="E102" s="34" t="str">
        <f t="shared" si="210"/>
        <v/>
      </c>
      <c r="F102" s="34" t="str">
        <f t="shared" si="210"/>
        <v/>
      </c>
      <c r="G102" s="34" t="str">
        <f t="shared" si="210"/>
        <v/>
      </c>
      <c r="H102" s="34" t="str">
        <f t="shared" si="210"/>
        <v/>
      </c>
      <c r="I102" s="34" t="str">
        <f t="shared" si="210"/>
        <v/>
      </c>
      <c r="J102" s="34">
        <f t="shared" si="210"/>
        <v>1.1745427452396027</v>
      </c>
      <c r="K102" s="5">
        <f t="shared" si="209"/>
        <v>102</v>
      </c>
      <c r="AK102" s="10">
        <v>32</v>
      </c>
      <c r="AL102" s="10">
        <v>1.6929519121748386</v>
      </c>
      <c r="AM102" s="10">
        <v>1.5510150311077477</v>
      </c>
      <c r="AO102" s="10">
        <v>180</v>
      </c>
      <c r="AP102" s="4">
        <v>1.2921741801921938</v>
      </c>
      <c r="AQ102" s="4">
        <v>1.191553899516606</v>
      </c>
    </row>
    <row r="103" spans="1:43" x14ac:dyDescent="0.25">
      <c r="A103" s="23">
        <f t="shared" si="207"/>
        <v>36</v>
      </c>
      <c r="B103" s="34" t="str">
        <f t="shared" ref="B103:J103" si="211">IF(B84="","",B8/B84)</f>
        <v/>
      </c>
      <c r="C103" s="34" t="str">
        <f t="shared" si="211"/>
        <v/>
      </c>
      <c r="D103" s="34" t="str">
        <f t="shared" si="211"/>
        <v/>
      </c>
      <c r="E103" s="34" t="str">
        <f t="shared" si="211"/>
        <v/>
      </c>
      <c r="F103" s="34" t="str">
        <f t="shared" si="211"/>
        <v/>
      </c>
      <c r="G103" s="34" t="str">
        <f t="shared" si="211"/>
        <v/>
      </c>
      <c r="H103" s="34" t="str">
        <f t="shared" si="211"/>
        <v/>
      </c>
      <c r="I103" s="34">
        <f t="shared" si="211"/>
        <v>1.1833208117109242</v>
      </c>
      <c r="J103" s="34">
        <f t="shared" si="211"/>
        <v>1.0834602455909648</v>
      </c>
      <c r="K103" s="5">
        <f t="shared" si="209"/>
        <v>103</v>
      </c>
      <c r="AK103" s="10">
        <v>50</v>
      </c>
      <c r="AL103" s="10">
        <v>1.554361529739871</v>
      </c>
      <c r="AM103" s="10">
        <v>1.4291659603613951</v>
      </c>
      <c r="AO103" s="10">
        <v>200</v>
      </c>
      <c r="AP103" s="4">
        <v>1.2771807648699354</v>
      </c>
      <c r="AQ103" s="4">
        <v>1.138687797014718</v>
      </c>
    </row>
    <row r="104" spans="1:43" x14ac:dyDescent="0.25">
      <c r="A104" s="23">
        <f t="shared" si="207"/>
        <v>64</v>
      </c>
      <c r="B104" s="34" t="str">
        <f t="shared" ref="B104:J104" si="212">IF(B85="","",B9/B85)</f>
        <v/>
      </c>
      <c r="C104" s="34" t="str">
        <f t="shared" si="212"/>
        <v/>
      </c>
      <c r="D104" s="34" t="str">
        <f t="shared" si="212"/>
        <v/>
      </c>
      <c r="E104" s="34" t="str">
        <f t="shared" si="212"/>
        <v/>
      </c>
      <c r="F104" s="34" t="str">
        <f t="shared" si="212"/>
        <v/>
      </c>
      <c r="G104" s="34" t="str">
        <f t="shared" si="212"/>
        <v/>
      </c>
      <c r="H104" s="34">
        <f t="shared" si="212"/>
        <v>1.1997291855030201</v>
      </c>
      <c r="I104" s="34">
        <f t="shared" si="212"/>
        <v>1.1097705029377563</v>
      </c>
      <c r="J104" s="34">
        <f t="shared" si="212"/>
        <v>1.0491769725101452</v>
      </c>
      <c r="K104" s="5">
        <f t="shared" si="209"/>
        <v>104</v>
      </c>
      <c r="AK104" s="10">
        <v>98</v>
      </c>
      <c r="AL104" s="10">
        <v>1.3959725212427649</v>
      </c>
      <c r="AM104" s="10">
        <v>1.2975301334164593</v>
      </c>
      <c r="AO104" s="10">
        <v>200</v>
      </c>
      <c r="AP104" s="4">
        <v>1.2771807648699354</v>
      </c>
      <c r="AQ104" s="4">
        <v>1.2037705333947442</v>
      </c>
    </row>
    <row r="105" spans="1:43" x14ac:dyDescent="0.25">
      <c r="A105" s="23">
        <f t="shared" si="207"/>
        <v>100</v>
      </c>
      <c r="B105" s="34" t="str">
        <f t="shared" ref="B105:J105" si="213">IF(B86="","",B10/B86)</f>
        <v/>
      </c>
      <c r="C105" s="34" t="str">
        <f t="shared" si="213"/>
        <v/>
      </c>
      <c r="D105" s="34" t="str">
        <f t="shared" si="213"/>
        <v/>
      </c>
      <c r="E105" s="34" t="str">
        <f t="shared" si="213"/>
        <v/>
      </c>
      <c r="F105" s="34" t="str">
        <f t="shared" si="213"/>
        <v/>
      </c>
      <c r="G105" s="34">
        <f t="shared" si="213"/>
        <v>1.2454654248484645</v>
      </c>
      <c r="H105" s="34">
        <f t="shared" si="213"/>
        <v>1.1347804448020005</v>
      </c>
      <c r="I105" s="34">
        <f t="shared" si="213"/>
        <v>1.0735070055108589</v>
      </c>
      <c r="J105" s="34">
        <f t="shared" si="213"/>
        <v>1.0324912141783205</v>
      </c>
      <c r="K105" s="5">
        <f t="shared" si="209"/>
        <v>105</v>
      </c>
      <c r="AK105" s="10">
        <v>200</v>
      </c>
      <c r="AL105" s="10">
        <v>1.2771807648699354</v>
      </c>
      <c r="AM105" s="10">
        <v>1.2037705333947442</v>
      </c>
      <c r="AO105" s="10">
        <v>245</v>
      </c>
      <c r="AP105" s="4">
        <v>1.2504350115933089</v>
      </c>
      <c r="AQ105" s="4">
        <v>1.1800140473256204</v>
      </c>
    </row>
    <row r="106" spans="1:43" x14ac:dyDescent="0.25">
      <c r="A106" s="23">
        <f t="shared" si="207"/>
        <v>144</v>
      </c>
      <c r="B106" s="34" t="str">
        <f t="shared" ref="B106:J106" si="214">IF(B87="","",B11/B87)</f>
        <v/>
      </c>
      <c r="C106" s="34" t="str">
        <f t="shared" si="214"/>
        <v/>
      </c>
      <c r="D106" s="34" t="str">
        <f t="shared" si="214"/>
        <v/>
      </c>
      <c r="E106" s="34" t="str">
        <f t="shared" si="214"/>
        <v/>
      </c>
      <c r="F106" s="34" t="str">
        <f t="shared" si="214"/>
        <v/>
      </c>
      <c r="G106" s="34">
        <f t="shared" si="214"/>
        <v>1.1784645535545739</v>
      </c>
      <c r="H106" s="34">
        <f t="shared" si="214"/>
        <v>1.0975339731423455</v>
      </c>
      <c r="I106" s="34">
        <f t="shared" si="214"/>
        <v>1.052812637257845</v>
      </c>
      <c r="J106" s="34">
        <f t="shared" si="214"/>
        <v>1.0230911682580286</v>
      </c>
      <c r="K106" s="5">
        <f t="shared" si="209"/>
        <v>106</v>
      </c>
      <c r="AK106" s="10">
        <v>6.25</v>
      </c>
      <c r="AL106" s="10">
        <v>2.5679711876320432</v>
      </c>
      <c r="AM106" s="10">
        <v>2.5103363611767437</v>
      </c>
      <c r="AO106" s="10">
        <v>250</v>
      </c>
      <c r="AP106" s="4">
        <v>1.2479180129218246</v>
      </c>
      <c r="AQ106" s="4">
        <v>1.1727577395613935</v>
      </c>
    </row>
    <row r="107" spans="1:43" x14ac:dyDescent="0.25">
      <c r="A107" s="23">
        <f t="shared" si="207"/>
        <v>196</v>
      </c>
      <c r="B107" s="34" t="str">
        <f t="shared" ref="B107:J107" si="215">IF(B88="","",B12/B88)</f>
        <v/>
      </c>
      <c r="C107" s="34" t="str">
        <f t="shared" si="215"/>
        <v/>
      </c>
      <c r="D107" s="34" t="str">
        <f t="shared" si="215"/>
        <v/>
      </c>
      <c r="E107" s="34" t="str">
        <f t="shared" si="215"/>
        <v/>
      </c>
      <c r="F107" s="34" t="str">
        <f t="shared" si="215"/>
        <v/>
      </c>
      <c r="G107" s="34">
        <f t="shared" si="215"/>
        <v>1.1361612823985843</v>
      </c>
      <c r="H107" s="34">
        <f t="shared" si="215"/>
        <v>1.0740450496765643</v>
      </c>
      <c r="I107" s="34">
        <f t="shared" si="215"/>
        <v>1.0398394557433963</v>
      </c>
      <c r="J107" s="34">
        <f t="shared" si="215"/>
        <v>1.0172651064248937</v>
      </c>
      <c r="K107" s="5">
        <f t="shared" si="209"/>
        <v>107</v>
      </c>
      <c r="AK107" s="10">
        <v>9</v>
      </c>
      <c r="AL107" s="10">
        <v>2.3066426563600357</v>
      </c>
      <c r="AM107" s="10">
        <v>2.1883633646627811</v>
      </c>
      <c r="AO107" s="10">
        <v>312.5</v>
      </c>
      <c r="AP107" s="4">
        <v>1.2217446118959483</v>
      </c>
      <c r="AQ107" s="4">
        <v>1.1109234284844116</v>
      </c>
    </row>
    <row r="108" spans="1:43" x14ac:dyDescent="0.25">
      <c r="A108" s="23">
        <f t="shared" si="207"/>
        <v>256</v>
      </c>
      <c r="B108" s="34" t="str">
        <f t="shared" ref="B108:J108" si="216">IF(B89="","",B13/B89)</f>
        <v/>
      </c>
      <c r="C108" s="34" t="str">
        <f t="shared" si="216"/>
        <v/>
      </c>
      <c r="D108" s="34" t="str">
        <f t="shared" si="216"/>
        <v/>
      </c>
      <c r="E108" s="34" t="str">
        <f t="shared" si="216"/>
        <v/>
      </c>
      <c r="F108" s="34">
        <f t="shared" si="216"/>
        <v>1.2389016245080815</v>
      </c>
      <c r="G108" s="34">
        <f t="shared" si="216"/>
        <v>1.1075792619632445</v>
      </c>
      <c r="H108" s="34">
        <f t="shared" si="216"/>
        <v>1.058220830299476</v>
      </c>
      <c r="I108" s="34">
        <f t="shared" si="216"/>
        <v>1.0311516094573345</v>
      </c>
      <c r="J108" s="34">
        <f t="shared" si="216"/>
        <v>1.0134016220768698</v>
      </c>
      <c r="K108" s="5">
        <f t="shared" si="209"/>
        <v>108</v>
      </c>
      <c r="AK108" s="10">
        <v>16</v>
      </c>
      <c r="AL108" s="10">
        <v>1.9799819922700268</v>
      </c>
      <c r="AM108" s="10">
        <v>1.831757920005098</v>
      </c>
      <c r="AO108" s="10">
        <v>320</v>
      </c>
      <c r="AP108" s="4">
        <v>1.2191306351441453</v>
      </c>
      <c r="AQ108" s="4">
        <v>1.1423462548626231</v>
      </c>
    </row>
    <row r="109" spans="1:43" x14ac:dyDescent="0.25">
      <c r="A109" s="23">
        <f t="shared" si="207"/>
        <v>324</v>
      </c>
      <c r="B109" s="34" t="str">
        <f t="shared" ref="B109:J109" si="217">IF(B90="","",B14/B90)</f>
        <v/>
      </c>
      <c r="C109" s="34" t="str">
        <f t="shared" si="217"/>
        <v/>
      </c>
      <c r="D109" s="34" t="str">
        <f t="shared" si="217"/>
        <v/>
      </c>
      <c r="E109" s="34" t="str">
        <f t="shared" si="217"/>
        <v/>
      </c>
      <c r="F109" s="34">
        <f t="shared" si="217"/>
        <v>1.1945979338530777</v>
      </c>
      <c r="G109" s="34">
        <f t="shared" si="217"/>
        <v>1.0872870359686344</v>
      </c>
      <c r="H109" s="34">
        <f t="shared" si="217"/>
        <v>1.0470269485416777</v>
      </c>
      <c r="I109" s="34">
        <f t="shared" si="217"/>
        <v>1.0250404352495524</v>
      </c>
      <c r="J109" s="34">
        <f t="shared" si="217"/>
        <v>1.0107067773233569</v>
      </c>
      <c r="K109" s="5">
        <f t="shared" si="209"/>
        <v>109</v>
      </c>
      <c r="AK109" s="10">
        <v>25</v>
      </c>
      <c r="AL109" s="10">
        <v>1.7839855938160216</v>
      </c>
      <c r="AM109" s="10">
        <v>1.6393252714526378</v>
      </c>
      <c r="AO109" s="10">
        <v>450</v>
      </c>
      <c r="AP109" s="4">
        <v>1.1847871765799569</v>
      </c>
      <c r="AQ109" s="4">
        <v>1.092423673632648</v>
      </c>
    </row>
    <row r="110" spans="1:43" x14ac:dyDescent="0.25">
      <c r="A110" s="23">
        <f t="shared" si="207"/>
        <v>400</v>
      </c>
      <c r="B110" s="34" t="str">
        <f t="shared" ref="B110:J110" si="218">IF(B91="","",B15/B91)</f>
        <v/>
      </c>
      <c r="C110" s="34" t="str">
        <f t="shared" si="218"/>
        <v/>
      </c>
      <c r="D110" s="34" t="str">
        <f t="shared" si="218"/>
        <v/>
      </c>
      <c r="E110" s="34" t="str">
        <f t="shared" si="218"/>
        <v/>
      </c>
      <c r="F110" s="34">
        <f t="shared" si="218"/>
        <v>1.1619035544129466</v>
      </c>
      <c r="G110" s="34">
        <f t="shared" si="218"/>
        <v>1.0723233695123024</v>
      </c>
      <c r="H110" s="34">
        <f t="shared" si="218"/>
        <v>1.0388044691278457</v>
      </c>
      <c r="I110" s="34">
        <f t="shared" si="218"/>
        <v>1.0205746562650062</v>
      </c>
      <c r="J110" s="34">
        <f t="shared" si="218"/>
        <v>1.0087517481318269</v>
      </c>
      <c r="K110" s="5">
        <f t="shared" si="209"/>
        <v>110</v>
      </c>
      <c r="AK110" s="10">
        <v>49</v>
      </c>
      <c r="AL110" s="10">
        <v>1.5599897098685869</v>
      </c>
      <c r="AM110" s="10">
        <v>1.4368842500527901</v>
      </c>
      <c r="AO110" s="10">
        <v>490</v>
      </c>
      <c r="AP110" s="4">
        <v>1.1770842949441604</v>
      </c>
      <c r="AQ110" s="4">
        <v>1.1220381969848168</v>
      </c>
    </row>
    <row r="111" spans="1:43" x14ac:dyDescent="0.25">
      <c r="A111" s="23">
        <f t="shared" si="207"/>
        <v>625</v>
      </c>
      <c r="B111" s="34" t="str">
        <f t="shared" ref="B111:J111" si="219">IF(B92="","",B16/B92)</f>
        <v/>
      </c>
      <c r="C111" s="34" t="str">
        <f t="shared" si="219"/>
        <v/>
      </c>
      <c r="D111" s="34" t="str">
        <f t="shared" si="219"/>
        <v/>
      </c>
      <c r="E111" s="34">
        <f t="shared" si="219"/>
        <v>1.2004401746972726</v>
      </c>
      <c r="F111" s="34">
        <f t="shared" si="219"/>
        <v>1.1094150039041248</v>
      </c>
      <c r="G111" s="34">
        <f t="shared" si="219"/>
        <v>1.0483863081003642</v>
      </c>
      <c r="H111" s="34">
        <f t="shared" si="219"/>
        <v>1.025733629385825</v>
      </c>
      <c r="I111" s="34">
        <f t="shared" si="219"/>
        <v>1.0135280969450475</v>
      </c>
      <c r="J111" s="34">
        <f t="shared" si="219"/>
        <v>1.0056968388454952</v>
      </c>
      <c r="K111" s="5">
        <f t="shared" si="209"/>
        <v>111</v>
      </c>
      <c r="AK111" s="10">
        <v>100</v>
      </c>
      <c r="AL111" s="10">
        <v>1.3919927969080108</v>
      </c>
      <c r="AM111" s="10">
        <v>1.2961411422022049</v>
      </c>
      <c r="AO111" s="10">
        <v>500</v>
      </c>
      <c r="AP111" s="4">
        <v>1.1753045081153162</v>
      </c>
      <c r="AQ111" s="4">
        <v>1.1132565673447017</v>
      </c>
    </row>
    <row r="112" spans="1:43" x14ac:dyDescent="0.25">
      <c r="A112" s="23">
        <f t="shared" si="207"/>
        <v>900</v>
      </c>
      <c r="B112" s="34" t="str">
        <f t="shared" ref="B112:J112" si="220">IF(B93="","",B17/B93)</f>
        <v/>
      </c>
      <c r="C112" s="34" t="str">
        <f t="shared" si="220"/>
        <v/>
      </c>
      <c r="D112" s="34" t="str">
        <f t="shared" si="220"/>
        <v/>
      </c>
      <c r="E112" s="34">
        <f t="shared" si="220"/>
        <v>1.1458144259055658</v>
      </c>
      <c r="F112" s="34">
        <f t="shared" si="220"/>
        <v>1.0791949641523921</v>
      </c>
      <c r="G112" s="34">
        <f t="shared" si="220"/>
        <v>1.0347080017106582</v>
      </c>
      <c r="H112" s="34">
        <f t="shared" si="220"/>
        <v>1.0183302410547839</v>
      </c>
      <c r="I112" s="34">
        <f t="shared" si="220"/>
        <v>1.0095743993827913</v>
      </c>
      <c r="J112" s="34">
        <f t="shared" si="220"/>
        <v>1.0040027806023466</v>
      </c>
      <c r="K112" s="5">
        <f t="shared" si="209"/>
        <v>112</v>
      </c>
      <c r="AK112" s="10">
        <v>8</v>
      </c>
      <c r="AL112" s="10">
        <v>2.3859038243496773</v>
      </c>
      <c r="AM112" s="10">
        <v>2.288234056317008</v>
      </c>
      <c r="AO112" s="10">
        <v>500</v>
      </c>
      <c r="AP112" s="4">
        <v>1.1753045081153162</v>
      </c>
      <c r="AQ112" s="4">
        <v>1.1244003301861261</v>
      </c>
    </row>
    <row r="113" spans="1:43" x14ac:dyDescent="0.25">
      <c r="A113" s="23">
        <f t="shared" si="207"/>
        <v>1600</v>
      </c>
      <c r="B113" s="34" t="str">
        <f t="shared" ref="B113:J113" si="221">IF(B94="","",B18/B94)</f>
        <v/>
      </c>
      <c r="C113" s="34" t="str">
        <f t="shared" si="221"/>
        <v/>
      </c>
      <c r="D113" s="34">
        <f t="shared" si="221"/>
        <v>1.1614943848564607</v>
      </c>
      <c r="E113" s="34">
        <f t="shared" si="221"/>
        <v>1.0878354528018277</v>
      </c>
      <c r="F113" s="34">
        <f t="shared" si="221"/>
        <v>1.047235441071515</v>
      </c>
      <c r="G113" s="34">
        <f t="shared" si="221"/>
        <v>1.0204035681413504</v>
      </c>
      <c r="H113" s="34">
        <f t="shared" si="221"/>
        <v>1.010665755089335</v>
      </c>
      <c r="I113" s="34">
        <f t="shared" si="221"/>
        <v>1.0055212893153576</v>
      </c>
      <c r="J113" s="34">
        <f t="shared" si="221"/>
        <v>1.0022859394383621</v>
      </c>
      <c r="K113" s="5">
        <f t="shared" si="209"/>
        <v>113</v>
      </c>
      <c r="AK113" s="10">
        <v>12.5</v>
      </c>
      <c r="AL113" s="10">
        <v>2.1087230594797419</v>
      </c>
      <c r="AM113" s="10">
        <v>1.9706635905957897</v>
      </c>
      <c r="AO113" s="10">
        <v>800</v>
      </c>
      <c r="AP113" s="4">
        <v>1.1385903824349677</v>
      </c>
      <c r="AQ113" s="4">
        <v>1.0693081575184298</v>
      </c>
    </row>
    <row r="114" spans="1:43" x14ac:dyDescent="0.25">
      <c r="A114" s="23">
        <f t="shared" si="207"/>
        <v>2500</v>
      </c>
      <c r="B114" s="34" t="str">
        <f t="shared" ref="B114:J114" si="222">IF(B95="","",B19/B95)</f>
        <v/>
      </c>
      <c r="C114" s="34">
        <f t="shared" si="222"/>
        <v>1.2429398031603585</v>
      </c>
      <c r="D114" s="34">
        <f t="shared" si="222"/>
        <v>1.1091937877359064</v>
      </c>
      <c r="E114" s="34">
        <f t="shared" si="222"/>
        <v>1.0589661018572611</v>
      </c>
      <c r="F114" s="34">
        <f t="shared" si="222"/>
        <v>1.031445260759704</v>
      </c>
      <c r="G114" s="34">
        <f t="shared" si="222"/>
        <v>1.0134372271283349</v>
      </c>
      <c r="H114" s="34">
        <f t="shared" si="222"/>
        <v>1.0069746308342069</v>
      </c>
      <c r="I114" s="34">
        <f t="shared" si="222"/>
        <v>1.0035891632152862</v>
      </c>
      <c r="J114" s="34">
        <f t="shared" si="222"/>
        <v>1.001476772325032</v>
      </c>
      <c r="K114" s="5">
        <f t="shared" si="209"/>
        <v>114</v>
      </c>
      <c r="AK114" s="10">
        <v>24.5</v>
      </c>
      <c r="AL114" s="10">
        <v>1.7919450424855299</v>
      </c>
      <c r="AM114" s="10">
        <v>1.6492125108281783</v>
      </c>
      <c r="AO114" s="10">
        <v>980</v>
      </c>
      <c r="AP114" s="4">
        <v>1.1252175057966545</v>
      </c>
      <c r="AQ114" s="4">
        <v>1.080399518406951</v>
      </c>
    </row>
    <row r="115" spans="1:43" x14ac:dyDescent="0.25">
      <c r="A115" s="23">
        <f t="shared" si="207"/>
        <v>4900</v>
      </c>
      <c r="B115" s="34" t="str">
        <f t="shared" ref="B115:J115" si="223">IF(B96="","",B20/B96)</f>
        <v/>
      </c>
      <c r="C115" s="34">
        <f t="shared" si="223"/>
        <v>1.1351680000709792</v>
      </c>
      <c r="D115" s="34">
        <f t="shared" si="223"/>
        <v>1.0600170387244259</v>
      </c>
      <c r="E115" s="34">
        <f t="shared" si="223"/>
        <v>1.0320112368990531</v>
      </c>
      <c r="F115" s="34">
        <f t="shared" si="223"/>
        <v>1.0168585339098473</v>
      </c>
      <c r="G115" s="34">
        <f t="shared" si="223"/>
        <v>1.0070991387413262</v>
      </c>
      <c r="H115" s="34">
        <f t="shared" si="223"/>
        <v>1.0036515537523691</v>
      </c>
      <c r="I115" s="34">
        <f t="shared" si="223"/>
        <v>1.001865344083283</v>
      </c>
      <c r="J115" s="34">
        <f t="shared" si="223"/>
        <v>1.0007617677889513</v>
      </c>
      <c r="K115" s="5">
        <f t="shared" si="209"/>
        <v>115</v>
      </c>
      <c r="AK115" s="10">
        <v>50</v>
      </c>
      <c r="AL115" s="10">
        <v>1.554361529739871</v>
      </c>
      <c r="AM115" s="10">
        <v>1.4334456301369378</v>
      </c>
      <c r="AO115" s="10">
        <v>1000</v>
      </c>
      <c r="AP115" s="4">
        <v>1.1239590064609122</v>
      </c>
      <c r="AQ115" s="4">
        <v>1.0847287875087845</v>
      </c>
    </row>
    <row r="116" spans="1:43" x14ac:dyDescent="0.25">
      <c r="A116" s="23">
        <f t="shared" si="207"/>
        <v>10000</v>
      </c>
      <c r="B116" s="34">
        <f t="shared" ref="B116:J116" si="224">IF(B97="","",B21/B97)</f>
        <v>1.132775965377075</v>
      </c>
      <c r="C116" s="34">
        <f t="shared" si="224"/>
        <v>1.0719516255751056</v>
      </c>
      <c r="D116" s="34">
        <f t="shared" si="224"/>
        <v>1.0314127880625501</v>
      </c>
      <c r="E116" s="34">
        <f t="shared" si="224"/>
        <v>1.0165349104502892</v>
      </c>
      <c r="F116" s="34">
        <f t="shared" si="224"/>
        <v>1.0086045713912781</v>
      </c>
      <c r="G116" s="34">
        <f t="shared" si="224"/>
        <v>1.0035768195716219</v>
      </c>
      <c r="H116" s="34">
        <f t="shared" si="224"/>
        <v>1.0018259036620072</v>
      </c>
      <c r="I116" s="34">
        <f t="shared" si="224"/>
        <v>1.0009272102929319</v>
      </c>
      <c r="J116" s="34">
        <f t="shared" si="224"/>
        <v>1.0003764224394773</v>
      </c>
      <c r="K116" s="5">
        <f t="shared" si="209"/>
        <v>116</v>
      </c>
      <c r="AK116" s="10">
        <v>5</v>
      </c>
      <c r="AL116" s="10">
        <v>2.7530450811531626</v>
      </c>
      <c r="AM116" s="10">
        <v>2.7753965721908398</v>
      </c>
      <c r="AO116" s="10">
        <v>1250</v>
      </c>
      <c r="AP116" s="4">
        <v>1.1108723059479741</v>
      </c>
      <c r="AQ116" s="4">
        <v>1.0554428788312653</v>
      </c>
    </row>
    <row r="117" spans="1:43" x14ac:dyDescent="0.25">
      <c r="B117" s="54" t="str">
        <f>CHAR(COLUMN(B102)+64)&amp;ROW(B102)&amp;" "</f>
        <v xml:space="preserve">B102 </v>
      </c>
      <c r="C117" s="45" t="str">
        <f ca="1">_xlfn.FORMULATEXT(B102)</f>
        <v>=IF(B83="","",B7/B83)</v>
      </c>
      <c r="K117" s="5">
        <f t="shared" si="209"/>
        <v>117</v>
      </c>
      <c r="AK117" s="10">
        <v>9.8000000000000007</v>
      </c>
      <c r="AL117" s="10">
        <v>2.2521750579665447</v>
      </c>
      <c r="AM117" s="10">
        <v>2.1334185780070913</v>
      </c>
      <c r="AO117" s="10">
        <v>2000</v>
      </c>
      <c r="AP117" s="4">
        <v>1.0876522540576581</v>
      </c>
      <c r="AQ117" s="4">
        <v>1.05602237362236</v>
      </c>
    </row>
    <row r="118" spans="1:43" x14ac:dyDescent="0.25">
      <c r="K118" s="5"/>
      <c r="AK118" s="10">
        <v>20</v>
      </c>
      <c r="AL118" s="10">
        <v>1.8765225405765813</v>
      </c>
      <c r="AM118" s="10">
        <v>1.7327093561526266</v>
      </c>
      <c r="AO118" s="10">
        <v>2450</v>
      </c>
      <c r="AP118" s="4">
        <v>1.0791945042485529</v>
      </c>
      <c r="AQ118" s="4">
        <v>1.0395997405549651</v>
      </c>
    </row>
    <row r="119" spans="1:43" x14ac:dyDescent="0.25">
      <c r="K119" s="5"/>
      <c r="AK119" s="10">
        <v>10</v>
      </c>
      <c r="AL119" s="10">
        <v>2.2395900646091231</v>
      </c>
      <c r="AM119" s="10">
        <v>2.1199335708609999</v>
      </c>
      <c r="AO119" s="10">
        <v>5000</v>
      </c>
      <c r="AP119" s="4">
        <v>1.0554361529739871</v>
      </c>
      <c r="AQ119" s="4">
        <v>1.0277189398782178</v>
      </c>
    </row>
    <row r="120" spans="1:43" x14ac:dyDescent="0.25">
      <c r="K120" s="5"/>
    </row>
    <row r="121" spans="1:43" x14ac:dyDescent="0.25">
      <c r="K121" s="5"/>
    </row>
    <row r="122" spans="1:43" x14ac:dyDescent="0.25">
      <c r="K122" s="5"/>
    </row>
    <row r="123" spans="1:43" x14ac:dyDescent="0.25">
      <c r="K123" s="5"/>
      <c r="AK123" s="10">
        <v>5</v>
      </c>
      <c r="AL123" s="10">
        <v>2.7530450811531626</v>
      </c>
      <c r="AM123" s="10">
        <v>2.6874491540895589</v>
      </c>
    </row>
    <row r="124" spans="1:43" x14ac:dyDescent="0.25">
      <c r="K124" s="5"/>
      <c r="AK124" s="10">
        <v>5</v>
      </c>
      <c r="AL124" s="10">
        <v>2.7530450811531626</v>
      </c>
      <c r="AM124" s="10">
        <v>2.7753965721908398</v>
      </c>
    </row>
    <row r="125" spans="1:43" x14ac:dyDescent="0.25">
      <c r="K125" s="5"/>
      <c r="AK125" s="10">
        <v>5.12</v>
      </c>
      <c r="AL125" s="10">
        <v>2.7323797804370971</v>
      </c>
      <c r="AM125" s="10">
        <v>2.7138220339844525</v>
      </c>
    </row>
    <row r="126" spans="1:43" x14ac:dyDescent="0.25">
      <c r="AK126" s="10">
        <v>6.25</v>
      </c>
      <c r="AL126" s="10">
        <v>2.5679711876320432</v>
      </c>
      <c r="AM126" s="10">
        <v>2.5103363611767437</v>
      </c>
    </row>
    <row r="127" spans="1:43" x14ac:dyDescent="0.25">
      <c r="AK127" s="10">
        <v>6.4</v>
      </c>
      <c r="AL127" s="10">
        <v>2.5494875807614035</v>
      </c>
      <c r="AM127" s="10">
        <v>2.3566393851600953</v>
      </c>
    </row>
    <row r="128" spans="1:43" x14ac:dyDescent="0.25">
      <c r="AK128" s="10">
        <v>6.48</v>
      </c>
      <c r="AL128" s="10">
        <v>2.5398931381663084</v>
      </c>
      <c r="AM128" s="10">
        <v>2.4597382064363642</v>
      </c>
    </row>
    <row r="129" spans="37:39" x14ac:dyDescent="0.25">
      <c r="AK129" s="10">
        <v>7.2</v>
      </c>
      <c r="AL129" s="10">
        <v>2.4608709009609688</v>
      </c>
      <c r="AM129" s="10">
        <v>2.1286131394636429</v>
      </c>
    </row>
    <row r="130" spans="37:39" x14ac:dyDescent="0.25">
      <c r="AK130" s="10">
        <v>7.2</v>
      </c>
      <c r="AL130" s="10">
        <v>2.4608709009609688</v>
      </c>
      <c r="AM130" s="10">
        <v>2.3223108308773823</v>
      </c>
    </row>
    <row r="131" spans="37:39" x14ac:dyDescent="0.25">
      <c r="AK131" s="10">
        <v>8</v>
      </c>
      <c r="AL131" s="10">
        <v>2.3859038243496773</v>
      </c>
      <c r="AM131" s="10">
        <v>1.7007784801586265</v>
      </c>
    </row>
    <row r="132" spans="37:39" x14ac:dyDescent="0.25">
      <c r="AK132" s="10">
        <v>8</v>
      </c>
      <c r="AL132" s="10">
        <v>2.3859038243496773</v>
      </c>
      <c r="AM132" s="10">
        <v>2.2705650780395863</v>
      </c>
    </row>
    <row r="133" spans="37:39" x14ac:dyDescent="0.25">
      <c r="AK133" s="10">
        <v>8</v>
      </c>
      <c r="AL133" s="10">
        <v>2.3859038243496773</v>
      </c>
      <c r="AM133" s="10">
        <v>2.288234056317008</v>
      </c>
    </row>
    <row r="134" spans="37:39" x14ac:dyDescent="0.25">
      <c r="AK134" s="10">
        <v>9</v>
      </c>
      <c r="AL134" s="10">
        <v>2.3066426563600357</v>
      </c>
      <c r="AM134" s="10">
        <v>2.1883633646627811</v>
      </c>
    </row>
    <row r="135" spans="37:39" x14ac:dyDescent="0.25">
      <c r="AK135" s="10">
        <v>9.8000000000000007</v>
      </c>
      <c r="AL135" s="10">
        <v>2.2521750579665447</v>
      </c>
      <c r="AM135" s="10">
        <v>2.0861290095186296</v>
      </c>
    </row>
    <row r="136" spans="37:39" x14ac:dyDescent="0.25">
      <c r="AK136" s="10">
        <v>9.8000000000000007</v>
      </c>
      <c r="AL136" s="10">
        <v>2.2521750579665447</v>
      </c>
      <c r="AM136" s="10">
        <v>2.1334185780070913</v>
      </c>
    </row>
    <row r="137" spans="37:39" x14ac:dyDescent="0.25">
      <c r="AK137" s="10">
        <v>10</v>
      </c>
      <c r="AL137" s="10">
        <v>2.2395900646091231</v>
      </c>
      <c r="AM137" s="10">
        <v>2.0239642543245737</v>
      </c>
    </row>
    <row r="138" spans="37:39" x14ac:dyDescent="0.25">
      <c r="AK138" s="10">
        <v>10</v>
      </c>
      <c r="AL138" s="10">
        <v>2.2395900646091231</v>
      </c>
      <c r="AM138" s="10">
        <v>2.1199335708609999</v>
      </c>
    </row>
    <row r="139" spans="37:39" x14ac:dyDescent="0.25">
      <c r="AK139" s="10">
        <v>12.5</v>
      </c>
      <c r="AL139" s="10">
        <v>2.1087230594797419</v>
      </c>
      <c r="AM139" s="10">
        <v>1.9586443828662883</v>
      </c>
    </row>
    <row r="140" spans="37:39" x14ac:dyDescent="0.25">
      <c r="AK140" s="10">
        <v>12.5</v>
      </c>
      <c r="AL140" s="10">
        <v>2.1087230594797419</v>
      </c>
      <c r="AM140" s="10">
        <v>1.9706635905957897</v>
      </c>
    </row>
    <row r="141" spans="37:39" x14ac:dyDescent="0.25">
      <c r="AK141" s="10">
        <v>12.8</v>
      </c>
      <c r="AL141" s="10">
        <v>2.0956531757207268</v>
      </c>
      <c r="AM141" s="10">
        <v>1.8017396687166829</v>
      </c>
    </row>
    <row r="142" spans="37:39" x14ac:dyDescent="0.25">
      <c r="AK142" s="10">
        <v>12.8</v>
      </c>
      <c r="AL142" s="10">
        <v>2.0956531757207268</v>
      </c>
      <c r="AM142" s="10">
        <v>1.9211567484050913</v>
      </c>
    </row>
    <row r="143" spans="37:39" x14ac:dyDescent="0.25">
      <c r="AK143" s="10">
        <v>14.4</v>
      </c>
      <c r="AL143" s="10">
        <v>2.0329917205076025</v>
      </c>
      <c r="AM143" s="10">
        <v>1.821870411154823</v>
      </c>
    </row>
    <row r="144" spans="37:39" x14ac:dyDescent="0.25">
      <c r="AK144" s="10">
        <v>16</v>
      </c>
      <c r="AL144" s="10">
        <v>1.9799819922700268</v>
      </c>
      <c r="AM144" s="10">
        <v>1.831757920005098</v>
      </c>
    </row>
    <row r="145" spans="37:39" x14ac:dyDescent="0.25">
      <c r="AK145" s="10">
        <v>16.2</v>
      </c>
      <c r="AL145" s="10">
        <v>1.9739139339739793</v>
      </c>
      <c r="AM145" s="10">
        <v>1.7995271620687636</v>
      </c>
    </row>
    <row r="146" spans="37:39" x14ac:dyDescent="0.25">
      <c r="AK146" s="10">
        <v>18</v>
      </c>
      <c r="AL146" s="10">
        <v>1.923935882899785</v>
      </c>
      <c r="AM146" s="10">
        <v>1.4647482630692086</v>
      </c>
    </row>
    <row r="147" spans="37:39" x14ac:dyDescent="0.25">
      <c r="AK147" s="10">
        <v>18</v>
      </c>
      <c r="AL147" s="10">
        <v>1.923935882899785</v>
      </c>
      <c r="AM147" s="10">
        <v>1.769203638820374</v>
      </c>
    </row>
    <row r="148" spans="37:39" x14ac:dyDescent="0.25">
      <c r="AK148" s="10">
        <v>19.600000000000001</v>
      </c>
      <c r="AL148" s="10">
        <v>1.885421474720802</v>
      </c>
      <c r="AM148" s="10">
        <v>1.6862632687346135</v>
      </c>
    </row>
    <row r="149" spans="37:39" x14ac:dyDescent="0.25">
      <c r="AK149" s="10">
        <v>20</v>
      </c>
      <c r="AL149" s="10">
        <v>1.8765225405765813</v>
      </c>
      <c r="AM149" s="10">
        <v>1.6215997232830548</v>
      </c>
    </row>
    <row r="150" spans="37:39" x14ac:dyDescent="0.25">
      <c r="AK150" s="10">
        <v>20</v>
      </c>
      <c r="AL150" s="10">
        <v>1.8765225405765813</v>
      </c>
      <c r="AM150" s="10">
        <v>1.7061929306793169</v>
      </c>
    </row>
    <row r="151" spans="37:39" x14ac:dyDescent="0.25">
      <c r="AK151" s="10">
        <v>20</v>
      </c>
      <c r="AL151" s="10">
        <v>1.8765225405765813</v>
      </c>
      <c r="AM151" s="10">
        <v>1.7327093561526266</v>
      </c>
    </row>
    <row r="152" spans="37:39" x14ac:dyDescent="0.25">
      <c r="AK152" s="10">
        <v>24.5</v>
      </c>
      <c r="AL152" s="10">
        <v>1.7919450424855299</v>
      </c>
      <c r="AM152" s="10">
        <v>1.6492125108281783</v>
      </c>
    </row>
    <row r="153" spans="37:39" x14ac:dyDescent="0.25">
      <c r="AK153" s="10">
        <v>25</v>
      </c>
      <c r="AL153" s="10">
        <v>1.7839855938160216</v>
      </c>
      <c r="AM153" s="10">
        <v>1.6393252714526378</v>
      </c>
    </row>
    <row r="154" spans="37:39" x14ac:dyDescent="0.25">
      <c r="AK154" s="10">
        <v>25.6</v>
      </c>
      <c r="AL154" s="10">
        <v>1.7747437903807017</v>
      </c>
      <c r="AM154" s="10">
        <v>1.5890213022940203</v>
      </c>
    </row>
    <row r="155" spans="37:39" x14ac:dyDescent="0.25">
      <c r="AK155" s="10">
        <v>28.8</v>
      </c>
      <c r="AL155" s="10">
        <v>1.7304354504804844</v>
      </c>
      <c r="AM155" s="10">
        <v>1.5075639899267923</v>
      </c>
    </row>
    <row r="156" spans="37:39" x14ac:dyDescent="0.25">
      <c r="AK156" s="10">
        <v>31.25</v>
      </c>
      <c r="AL156" s="10">
        <v>1.7012180324612651</v>
      </c>
      <c r="AM156" s="10">
        <v>1.5465483030476934</v>
      </c>
    </row>
    <row r="157" spans="37:39" x14ac:dyDescent="0.25">
      <c r="AK157" s="10">
        <v>32</v>
      </c>
      <c r="AL157" s="10">
        <v>1.6929519121748386</v>
      </c>
      <c r="AM157" s="10">
        <v>1.3477585108841024</v>
      </c>
    </row>
    <row r="158" spans="37:39" x14ac:dyDescent="0.25">
      <c r="AK158" s="10">
        <v>32</v>
      </c>
      <c r="AL158" s="10">
        <v>1.6929519121748386</v>
      </c>
      <c r="AM158" s="10">
        <v>1.5510150311077477</v>
      </c>
    </row>
    <row r="159" spans="37:39" x14ac:dyDescent="0.25">
      <c r="AK159" s="10">
        <v>32.4</v>
      </c>
      <c r="AL159" s="10">
        <v>1.6886611470050683</v>
      </c>
      <c r="AM159" s="10">
        <v>1.5159001308156275</v>
      </c>
    </row>
    <row r="160" spans="37:39" x14ac:dyDescent="0.25">
      <c r="AK160" s="10">
        <v>39.200000000000003</v>
      </c>
      <c r="AL160" s="10">
        <v>1.6260875289832724</v>
      </c>
      <c r="AM160" s="10">
        <v>1.4288966707605186</v>
      </c>
    </row>
    <row r="161" spans="37:39" x14ac:dyDescent="0.25">
      <c r="AK161" s="10">
        <v>40</v>
      </c>
      <c r="AL161" s="10">
        <v>1.6197950323045616</v>
      </c>
      <c r="AM161" s="10">
        <v>1.4589227041337292</v>
      </c>
    </row>
    <row r="162" spans="37:39" x14ac:dyDescent="0.25">
      <c r="AK162" s="10">
        <v>45</v>
      </c>
      <c r="AL162" s="10">
        <v>1.5843483603843875</v>
      </c>
      <c r="AM162" s="10">
        <v>1.4457287988851324</v>
      </c>
    </row>
    <row r="163" spans="37:39" x14ac:dyDescent="0.25">
      <c r="AK163" s="10">
        <v>49</v>
      </c>
      <c r="AL163" s="10">
        <v>1.5599897098685869</v>
      </c>
      <c r="AM163" s="10">
        <v>1.4368842500527901</v>
      </c>
    </row>
    <row r="164" spans="37:39" x14ac:dyDescent="0.25">
      <c r="AK164" s="10">
        <v>50</v>
      </c>
      <c r="AL164" s="10">
        <v>1.554361529739871</v>
      </c>
      <c r="AM164" s="10">
        <v>1.277874530527102</v>
      </c>
    </row>
    <row r="165" spans="37:39" x14ac:dyDescent="0.25">
      <c r="AK165" s="10">
        <v>50</v>
      </c>
      <c r="AL165" s="10">
        <v>1.554361529739871</v>
      </c>
      <c r="AM165" s="10">
        <v>1.4291659603613951</v>
      </c>
    </row>
    <row r="166" spans="37:39" x14ac:dyDescent="0.25">
      <c r="AK166" s="10">
        <v>50</v>
      </c>
      <c r="AL166" s="10">
        <v>1.554361529739871</v>
      </c>
      <c r="AM166" s="10">
        <v>1.4334456301369378</v>
      </c>
    </row>
    <row r="167" spans="37:39" x14ac:dyDescent="0.25">
      <c r="AK167" s="10">
        <v>51.2</v>
      </c>
      <c r="AL167" s="10">
        <v>1.5478265878603634</v>
      </c>
      <c r="AM167" s="10">
        <v>1.3713530129339062</v>
      </c>
    </row>
    <row r="168" spans="37:39" x14ac:dyDescent="0.25">
      <c r="AK168" s="10">
        <v>62.5</v>
      </c>
      <c r="AL168" s="10">
        <v>1.4958360258436492</v>
      </c>
      <c r="AM168" s="10">
        <v>1.3596237853546149</v>
      </c>
    </row>
    <row r="169" spans="37:39" x14ac:dyDescent="0.25">
      <c r="AK169" s="10">
        <v>64.8</v>
      </c>
      <c r="AL169" s="10">
        <v>1.4869569669869898</v>
      </c>
      <c r="AM169" s="10">
        <v>1.3274310654390042</v>
      </c>
    </row>
    <row r="170" spans="37:39" x14ac:dyDescent="0.25">
      <c r="AK170" s="10">
        <v>72</v>
      </c>
      <c r="AL170" s="10">
        <v>1.4619679414498925</v>
      </c>
      <c r="AM170" s="10">
        <v>1.2314008537983794</v>
      </c>
    </row>
    <row r="171" spans="37:39" x14ac:dyDescent="0.25">
      <c r="AK171" s="10">
        <v>80</v>
      </c>
      <c r="AL171" s="10">
        <v>1.4382612702882906</v>
      </c>
      <c r="AM171" s="10">
        <v>1.2928050494065708</v>
      </c>
    </row>
    <row r="172" spans="37:39" x14ac:dyDescent="0.25">
      <c r="AK172" s="10">
        <v>80</v>
      </c>
      <c r="AL172" s="10">
        <v>1.4382612702882906</v>
      </c>
      <c r="AM172" s="10">
        <v>1.3255827416990034</v>
      </c>
    </row>
    <row r="173" spans="37:39" x14ac:dyDescent="0.25">
      <c r="AK173" s="10">
        <v>90</v>
      </c>
      <c r="AL173" s="10">
        <v>1.4131966882030409</v>
      </c>
      <c r="AM173" s="10">
        <v>1.2956547730138994</v>
      </c>
    </row>
    <row r="174" spans="37:39" x14ac:dyDescent="0.25">
      <c r="AK174" s="10">
        <v>98</v>
      </c>
      <c r="AL174" s="10">
        <v>1.3959725212427649</v>
      </c>
      <c r="AM174" s="10">
        <v>1.1982561109511343</v>
      </c>
    </row>
    <row r="175" spans="37:39" x14ac:dyDescent="0.25">
      <c r="AK175" s="10">
        <v>98</v>
      </c>
      <c r="AL175" s="10">
        <v>1.3959725212427649</v>
      </c>
      <c r="AM175" s="10">
        <v>1.2975301334164593</v>
      </c>
    </row>
    <row r="176" spans="37:39" x14ac:dyDescent="0.25">
      <c r="AK176" s="10">
        <v>100</v>
      </c>
      <c r="AL176" s="10">
        <v>1.3919927969080108</v>
      </c>
      <c r="AM176" s="10">
        <v>1.2961411422022049</v>
      </c>
    </row>
    <row r="177" spans="37:39" x14ac:dyDescent="0.25">
      <c r="AK177" s="10">
        <v>125</v>
      </c>
      <c r="AL177" s="10">
        <v>1.3506090162306326</v>
      </c>
      <c r="AM177" s="10">
        <v>1.2315912349245657</v>
      </c>
    </row>
    <row r="178" spans="37:39" x14ac:dyDescent="0.25">
      <c r="AK178" s="10">
        <v>125</v>
      </c>
      <c r="AL178" s="10">
        <v>1.3506090162306326</v>
      </c>
      <c r="AM178" s="10">
        <v>1.256453066976613</v>
      </c>
    </row>
    <row r="179" spans="37:39" x14ac:dyDescent="0.25">
      <c r="AK179" s="10">
        <v>128</v>
      </c>
      <c r="AL179" s="10">
        <v>1.3464759560874193</v>
      </c>
      <c r="AM179" s="10">
        <v>1.173422599726097</v>
      </c>
    </row>
    <row r="180" spans="37:39" x14ac:dyDescent="0.25">
      <c r="AK180" s="10">
        <v>160</v>
      </c>
      <c r="AL180" s="10">
        <v>1.3098975161522808</v>
      </c>
      <c r="AM180" s="10">
        <v>1.2180804614107925</v>
      </c>
    </row>
    <row r="181" spans="37:39" x14ac:dyDescent="0.25">
      <c r="AK181" s="10">
        <v>162</v>
      </c>
      <c r="AL181" s="10">
        <v>1.3079786276332617</v>
      </c>
      <c r="AM181" s="10">
        <v>1.1541211529291009</v>
      </c>
    </row>
    <row r="182" spans="37:39" x14ac:dyDescent="0.25">
      <c r="AK182" s="10">
        <v>180</v>
      </c>
      <c r="AL182" s="10">
        <v>1.2921741801921938</v>
      </c>
      <c r="AM182" s="10">
        <v>1.191553899516606</v>
      </c>
    </row>
    <row r="183" spans="37:39" x14ac:dyDescent="0.25">
      <c r="AK183" s="10">
        <v>200</v>
      </c>
      <c r="AL183" s="10">
        <v>1.2771807648699354</v>
      </c>
      <c r="AM183" s="10">
        <v>1.138687797014718</v>
      </c>
    </row>
    <row r="184" spans="37:39" x14ac:dyDescent="0.25">
      <c r="AK184" s="10">
        <v>200</v>
      </c>
      <c r="AL184" s="10">
        <v>1.2771807648699354</v>
      </c>
      <c r="AM184" s="10">
        <v>1.2037705333947442</v>
      </c>
    </row>
    <row r="185" spans="37:39" x14ac:dyDescent="0.25">
      <c r="AK185" s="10">
        <v>245</v>
      </c>
      <c r="AL185" s="10">
        <v>1.2504350115933089</v>
      </c>
      <c r="AM185" s="10">
        <v>1.1800140473256204</v>
      </c>
    </row>
    <row r="186" spans="37:39" x14ac:dyDescent="0.25">
      <c r="AK186" s="10">
        <v>250</v>
      </c>
      <c r="AL186" s="10">
        <v>1.2479180129218246</v>
      </c>
      <c r="AM186" s="10">
        <v>1.1727577395613935</v>
      </c>
    </row>
    <row r="187" spans="37:39" x14ac:dyDescent="0.25">
      <c r="AK187" s="10">
        <v>312.5</v>
      </c>
      <c r="AL187" s="10">
        <v>1.2217446118959483</v>
      </c>
      <c r="AM187" s="10">
        <v>1.1109234284844116</v>
      </c>
    </row>
    <row r="188" spans="37:39" x14ac:dyDescent="0.25">
      <c r="AK188" s="10">
        <v>320</v>
      </c>
      <c r="AL188" s="10">
        <v>1.2191306351441453</v>
      </c>
      <c r="AM188" s="10">
        <v>1.1423462548626231</v>
      </c>
    </row>
    <row r="189" spans="37:39" x14ac:dyDescent="0.25">
      <c r="AK189" s="10">
        <v>450</v>
      </c>
      <c r="AL189" s="10">
        <v>1.1847871765799569</v>
      </c>
      <c r="AM189" s="10">
        <v>1.092423673632648</v>
      </c>
    </row>
    <row r="190" spans="37:39" x14ac:dyDescent="0.25">
      <c r="AK190" s="10">
        <v>490</v>
      </c>
      <c r="AL190" s="10">
        <v>1.1770842949441604</v>
      </c>
      <c r="AM190" s="10">
        <v>1.1220381969848168</v>
      </c>
    </row>
    <row r="191" spans="37:39" x14ac:dyDescent="0.25">
      <c r="AK191" s="10">
        <v>500</v>
      </c>
      <c r="AL191" s="10">
        <v>1.1753045081153162</v>
      </c>
      <c r="AM191" s="10">
        <v>1.1132565673447017</v>
      </c>
    </row>
    <row r="192" spans="37:39" x14ac:dyDescent="0.25">
      <c r="AK192" s="10">
        <v>500</v>
      </c>
      <c r="AL192" s="10">
        <v>1.1753045081153162</v>
      </c>
      <c r="AM192" s="10">
        <v>1.1244003301861261</v>
      </c>
    </row>
    <row r="193" spans="37:39" x14ac:dyDescent="0.25">
      <c r="AK193" s="10">
        <v>800</v>
      </c>
      <c r="AL193" s="10">
        <v>1.1385903824349677</v>
      </c>
      <c r="AM193" s="10">
        <v>1.0693081575184298</v>
      </c>
    </row>
    <row r="194" spans="37:39" x14ac:dyDescent="0.25">
      <c r="AK194" s="10">
        <v>980</v>
      </c>
      <c r="AL194" s="10">
        <v>1.1252175057966545</v>
      </c>
      <c r="AM194" s="10">
        <v>1.080399518406951</v>
      </c>
    </row>
    <row r="195" spans="37:39" x14ac:dyDescent="0.25">
      <c r="AK195" s="10">
        <v>1000</v>
      </c>
      <c r="AL195" s="10">
        <v>1.1239590064609122</v>
      </c>
      <c r="AM195" s="10">
        <v>1.0847287875087845</v>
      </c>
    </row>
    <row r="196" spans="37:39" x14ac:dyDescent="0.25">
      <c r="AK196" s="10">
        <v>1250</v>
      </c>
      <c r="AL196" s="10">
        <v>1.1108723059479741</v>
      </c>
      <c r="AM196" s="10">
        <v>1.0554428788312653</v>
      </c>
    </row>
    <row r="197" spans="37:39" x14ac:dyDescent="0.25">
      <c r="AK197" s="10">
        <v>2000</v>
      </c>
      <c r="AL197" s="10">
        <v>1.0876522540576581</v>
      </c>
      <c r="AM197" s="10">
        <v>1.05602237362236</v>
      </c>
    </row>
    <row r="198" spans="37:39" x14ac:dyDescent="0.25">
      <c r="AK198" s="10">
        <v>2450</v>
      </c>
      <c r="AL198" s="10">
        <v>1.0791945042485529</v>
      </c>
      <c r="AM198" s="10">
        <v>1.0395997405549651</v>
      </c>
    </row>
    <row r="199" spans="37:39" x14ac:dyDescent="0.25">
      <c r="AK199" s="10">
        <v>5000</v>
      </c>
      <c r="AL199" s="10">
        <v>1.0554361529739871</v>
      </c>
      <c r="AM199" s="10">
        <v>1.0277189398782178</v>
      </c>
    </row>
  </sheetData>
  <sortState ref="AK123:AM199">
    <sortCondition ref="AK123"/>
  </sortState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/>
  </sheetViews>
  <sheetFormatPr defaultRowHeight="15" x14ac:dyDescent="0.25"/>
  <cols>
    <col min="1" max="1" width="9.140625" style="10"/>
    <col min="2" max="2" width="22" style="10" customWidth="1"/>
    <col min="3" max="3" width="11.5703125" style="10" bestFit="1" customWidth="1"/>
    <col min="4" max="16384" width="9.140625" style="10"/>
  </cols>
  <sheetData>
    <row r="1" spans="2:8" x14ac:dyDescent="0.25">
      <c r="B1" s="29" t="s">
        <v>19</v>
      </c>
    </row>
    <row r="3" spans="2:8" x14ac:dyDescent="0.25">
      <c r="B3" s="10" t="s">
        <v>28</v>
      </c>
    </row>
    <row r="4" spans="2:8" x14ac:dyDescent="0.25">
      <c r="B4" s="24" t="s">
        <v>29</v>
      </c>
    </row>
    <row r="5" spans="2:8" x14ac:dyDescent="0.25">
      <c r="B5" s="10" t="s">
        <v>30</v>
      </c>
    </row>
    <row r="6" spans="2:8" x14ac:dyDescent="0.25">
      <c r="B6" s="10" t="s">
        <v>113</v>
      </c>
    </row>
    <row r="7" spans="2:8" x14ac:dyDescent="0.25">
      <c r="C7" s="10" t="s">
        <v>115</v>
      </c>
    </row>
    <row r="8" spans="2:8" x14ac:dyDescent="0.25">
      <c r="C8" s="10" t="s">
        <v>114</v>
      </c>
    </row>
    <row r="10" spans="2:8" x14ac:dyDescent="0.25">
      <c r="B10" s="10" t="s">
        <v>7</v>
      </c>
    </row>
    <row r="12" spans="2:8" x14ac:dyDescent="0.25">
      <c r="B12" s="11"/>
      <c r="C12" s="12" t="s">
        <v>31</v>
      </c>
      <c r="D12" s="12" t="s">
        <v>32</v>
      </c>
      <c r="E12" s="12" t="s">
        <v>8</v>
      </c>
      <c r="G12" s="10">
        <v>1</v>
      </c>
      <c r="H12" s="73" t="s">
        <v>125</v>
      </c>
    </row>
    <row r="13" spans="2:8" ht="18" x14ac:dyDescent="0.25">
      <c r="B13" s="13" t="s">
        <v>9</v>
      </c>
      <c r="C13" s="12" t="s">
        <v>10</v>
      </c>
      <c r="D13" s="12" t="s">
        <v>11</v>
      </c>
      <c r="E13" s="12" t="s">
        <v>12</v>
      </c>
      <c r="G13" s="10">
        <v>2</v>
      </c>
      <c r="H13" s="72" t="s">
        <v>126</v>
      </c>
    </row>
    <row r="14" spans="2:8" ht="18" x14ac:dyDescent="0.25">
      <c r="B14" s="13" t="s">
        <v>13</v>
      </c>
      <c r="C14" s="14" t="s">
        <v>14</v>
      </c>
      <c r="D14" s="14" t="s">
        <v>15</v>
      </c>
      <c r="E14" s="14" t="s">
        <v>16</v>
      </c>
      <c r="G14" s="10">
        <v>3</v>
      </c>
      <c r="H14" s="74" t="s">
        <v>126</v>
      </c>
    </row>
    <row r="15" spans="2:8" x14ac:dyDescent="0.25">
      <c r="B15" s="11"/>
      <c r="C15" s="11"/>
      <c r="G15" s="10">
        <v>4</v>
      </c>
      <c r="H15" s="10" t="s">
        <v>127</v>
      </c>
    </row>
    <row r="17" spans="1:9" ht="18" x14ac:dyDescent="0.25">
      <c r="B17" s="12" t="s">
        <v>119</v>
      </c>
    </row>
    <row r="18" spans="1:9" ht="18" x14ac:dyDescent="0.25">
      <c r="B18" s="12" t="s">
        <v>118</v>
      </c>
    </row>
    <row r="19" spans="1:9" x14ac:dyDescent="0.25">
      <c r="B19" s="25"/>
    </row>
    <row r="20" spans="1:9" x14ac:dyDescent="0.25">
      <c r="B20" s="16" t="s">
        <v>17</v>
      </c>
    </row>
    <row r="21" spans="1:9" x14ac:dyDescent="0.25">
      <c r="B21" s="17" t="s">
        <v>18</v>
      </c>
    </row>
    <row r="22" spans="1:9" x14ac:dyDescent="0.25">
      <c r="B22" s="75"/>
    </row>
    <row r="23" spans="1:9" x14ac:dyDescent="0.25">
      <c r="A23" s="33" t="s">
        <v>43</v>
      </c>
      <c r="B23" s="33" t="s">
        <v>44</v>
      </c>
      <c r="C23" s="33" t="s">
        <v>45</v>
      </c>
      <c r="D23" s="33" t="s">
        <v>46</v>
      </c>
      <c r="E23" s="33" t="s">
        <v>47</v>
      </c>
      <c r="F23" s="33" t="s">
        <v>48</v>
      </c>
      <c r="G23" s="33" t="s">
        <v>49</v>
      </c>
      <c r="H23" s="33"/>
    </row>
    <row r="24" spans="1:9" x14ac:dyDescent="0.25">
      <c r="B24" s="10" t="s">
        <v>20</v>
      </c>
      <c r="I24" s="31">
        <v>24</v>
      </c>
    </row>
    <row r="25" spans="1:9" x14ac:dyDescent="0.25">
      <c r="I25" s="10">
        <f>I24+1</f>
        <v>25</v>
      </c>
    </row>
    <row r="26" spans="1:9" x14ac:dyDescent="0.25">
      <c r="B26" s="6"/>
      <c r="C26" s="8" t="s">
        <v>21</v>
      </c>
      <c r="D26" s="8" t="s">
        <v>22</v>
      </c>
      <c r="E26" s="8" t="s">
        <v>8</v>
      </c>
      <c r="I26" s="10">
        <f t="shared" ref="I26:I89" si="0">I25+1</f>
        <v>26</v>
      </c>
    </row>
    <row r="27" spans="1:9" x14ac:dyDescent="0.25">
      <c r="B27" s="9" t="s">
        <v>23</v>
      </c>
      <c r="C27" s="7">
        <v>9</v>
      </c>
      <c r="D27" s="7">
        <v>41</v>
      </c>
      <c r="E27" s="7">
        <f>SUM(C27:D27)</f>
        <v>50</v>
      </c>
      <c r="I27" s="10">
        <f t="shared" si="0"/>
        <v>27</v>
      </c>
    </row>
    <row r="28" spans="1:9" x14ac:dyDescent="0.25">
      <c r="B28" s="9" t="s">
        <v>24</v>
      </c>
      <c r="C28" s="7">
        <v>20</v>
      </c>
      <c r="D28" s="7">
        <v>29</v>
      </c>
      <c r="E28" s="7">
        <f>SUM(C28:D28)</f>
        <v>49</v>
      </c>
      <c r="I28" s="10">
        <f t="shared" si="0"/>
        <v>28</v>
      </c>
    </row>
    <row r="29" spans="1:9" x14ac:dyDescent="0.25">
      <c r="B29" s="6"/>
      <c r="C29" s="7">
        <f>SUM(C27:C28)</f>
        <v>29</v>
      </c>
      <c r="D29" s="7">
        <f t="shared" ref="D29:E29" si="1">SUM(D27:D28)</f>
        <v>70</v>
      </c>
      <c r="E29" s="7">
        <f t="shared" si="1"/>
        <v>99</v>
      </c>
      <c r="I29" s="10">
        <f t="shared" si="0"/>
        <v>29</v>
      </c>
    </row>
    <row r="30" spans="1:9" x14ac:dyDescent="0.25">
      <c r="I30" s="10">
        <f t="shared" si="0"/>
        <v>30</v>
      </c>
    </row>
    <row r="31" spans="1:9" x14ac:dyDescent="0.25">
      <c r="I31" s="10">
        <f t="shared" si="0"/>
        <v>31</v>
      </c>
    </row>
    <row r="32" spans="1:9" x14ac:dyDescent="0.25">
      <c r="C32" s="10" t="s">
        <v>33</v>
      </c>
      <c r="D32" s="18">
        <f>C27/E27</f>
        <v>0.18</v>
      </c>
      <c r="E32" s="10" t="str">
        <f t="shared" ref="E32:E43" ca="1" si="2">_xlfn.FORMULATEXT(D32)</f>
        <v>=C27/E27</v>
      </c>
      <c r="I32" s="10">
        <f t="shared" si="0"/>
        <v>32</v>
      </c>
    </row>
    <row r="33" spans="1:9" x14ac:dyDescent="0.25">
      <c r="C33" s="10" t="s">
        <v>25</v>
      </c>
      <c r="D33" s="18">
        <f>C28/E28</f>
        <v>0.40816326530612246</v>
      </c>
      <c r="E33" s="10" t="str">
        <f t="shared" ca="1" si="2"/>
        <v>=C28/E28</v>
      </c>
      <c r="I33" s="10">
        <f t="shared" si="0"/>
        <v>33</v>
      </c>
    </row>
    <row r="34" spans="1:9" x14ac:dyDescent="0.25">
      <c r="C34" s="10" t="s">
        <v>5</v>
      </c>
      <c r="D34" s="20">
        <f>D32/D33</f>
        <v>0.44099999999999995</v>
      </c>
      <c r="I34" s="10">
        <f t="shared" si="0"/>
        <v>34</v>
      </c>
    </row>
    <row r="35" spans="1:9" x14ac:dyDescent="0.25">
      <c r="C35" s="10" t="s">
        <v>26</v>
      </c>
      <c r="D35" s="20">
        <f>LN(D34)</f>
        <v>-0.81871040353529123</v>
      </c>
      <c r="E35" s="10" t="str">
        <f t="shared" ca="1" si="2"/>
        <v>=LN(D34)</v>
      </c>
      <c r="I35" s="10">
        <f t="shared" si="0"/>
        <v>35</v>
      </c>
    </row>
    <row r="36" spans="1:9" x14ac:dyDescent="0.25">
      <c r="I36" s="10">
        <f t="shared" si="0"/>
        <v>36</v>
      </c>
    </row>
    <row r="37" spans="1:9" x14ac:dyDescent="0.25">
      <c r="C37" s="10" t="s">
        <v>2</v>
      </c>
      <c r="D37" s="18">
        <f>-_xlfn.NORM.S.INV(0.025)</f>
        <v>1.9599639845400538</v>
      </c>
      <c r="E37" s="10" t="str">
        <f t="shared" ca="1" si="2"/>
        <v>=-NORM.S.INV(0.025)</v>
      </c>
      <c r="I37" s="10">
        <f t="shared" si="0"/>
        <v>37</v>
      </c>
    </row>
    <row r="38" spans="1:9" x14ac:dyDescent="0.25">
      <c r="C38" s="5" t="s">
        <v>117</v>
      </c>
      <c r="D38" s="18">
        <f>(1-D32)/(D32*E27)</f>
        <v>9.1111111111111115E-2</v>
      </c>
      <c r="E38" s="10" t="str">
        <f t="shared" ca="1" si="2"/>
        <v>=(1-D32)/(D32*E27)</v>
      </c>
      <c r="I38" s="10">
        <f t="shared" si="0"/>
        <v>38</v>
      </c>
    </row>
    <row r="39" spans="1:9" x14ac:dyDescent="0.25">
      <c r="C39" s="5" t="s">
        <v>116</v>
      </c>
      <c r="D39" s="18">
        <f>(1-D33)/(D33*E28)</f>
        <v>2.9591836734693878E-2</v>
      </c>
      <c r="E39" s="10" t="str">
        <f t="shared" ca="1" si="2"/>
        <v>=(1-D33)/(D33*E28)</v>
      </c>
      <c r="I39" s="10">
        <f t="shared" si="0"/>
        <v>39</v>
      </c>
    </row>
    <row r="40" spans="1:9" x14ac:dyDescent="0.25">
      <c r="C40" s="10" t="s">
        <v>36</v>
      </c>
      <c r="D40" s="18">
        <f>D39+D38</f>
        <v>0.12070294784580499</v>
      </c>
      <c r="E40" s="10" t="str">
        <f t="shared" ca="1" si="2"/>
        <v>=D39+D38</v>
      </c>
      <c r="I40" s="10">
        <f t="shared" si="0"/>
        <v>40</v>
      </c>
    </row>
    <row r="41" spans="1:9" x14ac:dyDescent="0.25">
      <c r="I41" s="10">
        <f t="shared" si="0"/>
        <v>41</v>
      </c>
    </row>
    <row r="42" spans="1:9" x14ac:dyDescent="0.25">
      <c r="C42" s="10" t="s">
        <v>37</v>
      </c>
      <c r="D42" s="20">
        <f>SQRT((1-D32)/(D32*E27) + (1-D33)/(D33*E28))</f>
        <v>0.34742329778787862</v>
      </c>
      <c r="E42" s="10" t="str">
        <f t="shared" ca="1" si="2"/>
        <v>=SQRT((1-D32)/(D32*E27) + (1-D33)/(D33*E28))</v>
      </c>
      <c r="I42" s="10">
        <f t="shared" si="0"/>
        <v>42</v>
      </c>
    </row>
    <row r="43" spans="1:9" x14ac:dyDescent="0.25">
      <c r="C43" s="10" t="s">
        <v>38</v>
      </c>
      <c r="D43" s="21">
        <f>D37*D42</f>
        <v>0.68093715105437624</v>
      </c>
      <c r="E43" s="10" t="str">
        <f t="shared" ca="1" si="2"/>
        <v>=D37*D42</v>
      </c>
      <c r="I43" s="10">
        <f t="shared" si="0"/>
        <v>43</v>
      </c>
    </row>
    <row r="44" spans="1:9" x14ac:dyDescent="0.25">
      <c r="I44" s="10">
        <f t="shared" si="0"/>
        <v>44</v>
      </c>
    </row>
    <row r="45" spans="1:9" x14ac:dyDescent="0.25">
      <c r="I45" s="10">
        <f t="shared" si="0"/>
        <v>45</v>
      </c>
    </row>
    <row r="46" spans="1:9" x14ac:dyDescent="0.25">
      <c r="C46" s="10" t="s">
        <v>108</v>
      </c>
      <c r="D46" s="21">
        <f>D35-D43</f>
        <v>-1.4996475545896675</v>
      </c>
      <c r="E46" s="10" t="str">
        <f ca="1">_xlfn.FORMULATEXT(D46)</f>
        <v>=D35-D43</v>
      </c>
      <c r="I46" s="10">
        <f t="shared" si="0"/>
        <v>46</v>
      </c>
    </row>
    <row r="47" spans="1:9" x14ac:dyDescent="0.25">
      <c r="B47" s="1" t="s">
        <v>129</v>
      </c>
      <c r="C47" s="10" t="s">
        <v>109</v>
      </c>
      <c r="D47" s="21">
        <f>D35+D43</f>
        <v>-0.13777325248091499</v>
      </c>
      <c r="E47" s="10" t="str">
        <f t="shared" ref="E47:E49" ca="1" si="3">_xlfn.FORMULATEXT(D47)</f>
        <v>=D35+D43</v>
      </c>
      <c r="G47" s="10" t="s">
        <v>134</v>
      </c>
      <c r="I47" s="10">
        <f t="shared" si="0"/>
        <v>47</v>
      </c>
    </row>
    <row r="48" spans="1:9" x14ac:dyDescent="0.25">
      <c r="A48" s="10" t="s">
        <v>131</v>
      </c>
      <c r="B48" s="1">
        <v>0.22320599999999999</v>
      </c>
      <c r="C48" s="19" t="s">
        <v>110</v>
      </c>
      <c r="D48" s="21">
        <f>EXP(D46)</f>
        <v>0.2232088152092743</v>
      </c>
      <c r="E48" s="10" t="str">
        <f t="shared" ca="1" si="3"/>
        <v>=EXP(D46)</v>
      </c>
      <c r="G48" s="10" t="s">
        <v>128</v>
      </c>
      <c r="H48" s="10" t="s">
        <v>132</v>
      </c>
      <c r="I48" s="10">
        <f t="shared" si="0"/>
        <v>48</v>
      </c>
    </row>
    <row r="49" spans="1:9" x14ac:dyDescent="0.25">
      <c r="A49" s="10" t="s">
        <v>130</v>
      </c>
      <c r="B49" s="1">
        <v>0.87130700000000005</v>
      </c>
      <c r="C49" s="19" t="s">
        <v>111</v>
      </c>
      <c r="D49" s="21">
        <f>EXP(D47)</f>
        <v>0.87129623360824715</v>
      </c>
      <c r="E49" s="10" t="str">
        <f t="shared" ca="1" si="3"/>
        <v>=EXP(D47)</v>
      </c>
      <c r="G49" s="10" t="s">
        <v>128</v>
      </c>
      <c r="H49" s="10" t="s">
        <v>133</v>
      </c>
      <c r="I49" s="10">
        <f t="shared" si="0"/>
        <v>49</v>
      </c>
    </row>
    <row r="50" spans="1:9" x14ac:dyDescent="0.25">
      <c r="C50" s="10" t="s">
        <v>27</v>
      </c>
      <c r="I50" s="10">
        <f t="shared" si="0"/>
        <v>50</v>
      </c>
    </row>
    <row r="51" spans="1:9" x14ac:dyDescent="0.25">
      <c r="D51" s="30"/>
      <c r="F51" s="21"/>
      <c r="I51" s="10">
        <f t="shared" si="0"/>
        <v>51</v>
      </c>
    </row>
    <row r="52" spans="1:9" x14ac:dyDescent="0.25">
      <c r="A52" s="33" t="s">
        <v>43</v>
      </c>
      <c r="B52" s="33" t="s">
        <v>44</v>
      </c>
      <c r="C52" s="33" t="s">
        <v>45</v>
      </c>
      <c r="D52" s="33" t="s">
        <v>46</v>
      </c>
      <c r="E52" s="33" t="s">
        <v>47</v>
      </c>
      <c r="F52" s="33" t="s">
        <v>48</v>
      </c>
      <c r="G52" s="33" t="s">
        <v>49</v>
      </c>
      <c r="H52" s="32"/>
      <c r="I52" s="10">
        <f t="shared" si="0"/>
        <v>52</v>
      </c>
    </row>
    <row r="53" spans="1:9" x14ac:dyDescent="0.25">
      <c r="B53" s="29" t="s">
        <v>40</v>
      </c>
      <c r="I53" s="10">
        <f t="shared" si="0"/>
        <v>53</v>
      </c>
    </row>
    <row r="54" spans="1:9" x14ac:dyDescent="0.25">
      <c r="B54" s="6"/>
      <c r="C54" s="8" t="s">
        <v>21</v>
      </c>
      <c r="D54" s="8" t="s">
        <v>22</v>
      </c>
      <c r="E54" s="8" t="s">
        <v>8</v>
      </c>
      <c r="I54" s="10">
        <f t="shared" si="0"/>
        <v>54</v>
      </c>
    </row>
    <row r="55" spans="1:9" x14ac:dyDescent="0.25">
      <c r="B55" s="9" t="s">
        <v>122</v>
      </c>
      <c r="C55" s="7">
        <v>10</v>
      </c>
      <c r="D55" s="7">
        <v>990</v>
      </c>
      <c r="E55" s="7">
        <f>D55+C55</f>
        <v>1000</v>
      </c>
      <c r="I55" s="10">
        <f t="shared" si="0"/>
        <v>55</v>
      </c>
    </row>
    <row r="56" spans="1:9" x14ac:dyDescent="0.25">
      <c r="B56" s="9" t="s">
        <v>121</v>
      </c>
      <c r="C56" s="7">
        <v>20</v>
      </c>
      <c r="D56" s="7">
        <f>E56-C56</f>
        <v>980</v>
      </c>
      <c r="E56" s="7">
        <v>1000</v>
      </c>
      <c r="I56" s="10">
        <f t="shared" si="0"/>
        <v>56</v>
      </c>
    </row>
    <row r="57" spans="1:9" x14ac:dyDescent="0.25">
      <c r="B57" s="6"/>
      <c r="C57" s="7">
        <f>C56+C55</f>
        <v>30</v>
      </c>
      <c r="D57" s="7">
        <f t="shared" ref="D57:E57" si="4">D56+D55</f>
        <v>1970</v>
      </c>
      <c r="E57" s="7">
        <f t="shared" si="4"/>
        <v>2000</v>
      </c>
      <c r="I57" s="10">
        <f t="shared" si="0"/>
        <v>57</v>
      </c>
    </row>
    <row r="58" spans="1:9" x14ac:dyDescent="0.25">
      <c r="I58" s="10">
        <f t="shared" si="0"/>
        <v>58</v>
      </c>
    </row>
    <row r="59" spans="1:9" x14ac:dyDescent="0.25">
      <c r="I59" s="10">
        <f t="shared" si="0"/>
        <v>59</v>
      </c>
    </row>
    <row r="60" spans="1:9" x14ac:dyDescent="0.25">
      <c r="C60" s="10" t="s">
        <v>33</v>
      </c>
      <c r="D60" s="4">
        <f>C55/E55</f>
        <v>0.01</v>
      </c>
      <c r="E60" s="10" t="str">
        <f t="shared" ref="E60:E63" ca="1" si="5">_xlfn.FORMULATEXT(D60)</f>
        <v>=C55/E55</v>
      </c>
      <c r="I60" s="10">
        <f t="shared" si="0"/>
        <v>60</v>
      </c>
    </row>
    <row r="61" spans="1:9" x14ac:dyDescent="0.25">
      <c r="C61" s="10" t="s">
        <v>25</v>
      </c>
      <c r="D61" s="4">
        <f>C56/E56</f>
        <v>0.02</v>
      </c>
      <c r="E61" s="10" t="str">
        <f t="shared" ca="1" si="5"/>
        <v>=C56/E56</v>
      </c>
      <c r="I61" s="10">
        <f t="shared" si="0"/>
        <v>61</v>
      </c>
    </row>
    <row r="62" spans="1:9" x14ac:dyDescent="0.25">
      <c r="C62" s="10" t="s">
        <v>5</v>
      </c>
      <c r="D62" s="4">
        <f>D61/D60</f>
        <v>2</v>
      </c>
      <c r="E62" s="10" t="str">
        <f t="shared" ca="1" si="5"/>
        <v>=D61/D60</v>
      </c>
      <c r="I62" s="10">
        <f t="shared" si="0"/>
        <v>62</v>
      </c>
    </row>
    <row r="63" spans="1:9" x14ac:dyDescent="0.25">
      <c r="C63" s="10" t="s">
        <v>26</v>
      </c>
      <c r="D63" s="4">
        <f>LN(D62)</f>
        <v>0.69314718055994529</v>
      </c>
      <c r="E63" s="10" t="str">
        <f t="shared" ca="1" si="5"/>
        <v>=LN(D62)</v>
      </c>
      <c r="I63" s="10">
        <f t="shared" si="0"/>
        <v>63</v>
      </c>
    </row>
    <row r="64" spans="1:9" x14ac:dyDescent="0.25">
      <c r="D64" s="1"/>
      <c r="G64" s="15"/>
      <c r="I64" s="10">
        <f t="shared" si="0"/>
        <v>64</v>
      </c>
    </row>
    <row r="65" spans="3:11" x14ac:dyDescent="0.25">
      <c r="C65" s="10" t="s">
        <v>2</v>
      </c>
      <c r="D65" s="2">
        <f>-_xlfn.NORM.S.INV(0.025)</f>
        <v>1.9599639845400538</v>
      </c>
      <c r="E65" s="10" t="str">
        <f ca="1">_xlfn.FORMULATEXT(D65)</f>
        <v>=-NORM.S.INV(0.025)</v>
      </c>
      <c r="G65" s="1"/>
      <c r="H65" s="1"/>
      <c r="I65" s="10">
        <f t="shared" si="0"/>
        <v>65</v>
      </c>
      <c r="J65" s="1"/>
    </row>
    <row r="66" spans="3:11" x14ac:dyDescent="0.25">
      <c r="C66" s="5" t="s">
        <v>117</v>
      </c>
      <c r="D66" s="2">
        <f>(1-D60)/(D60*E55)</f>
        <v>9.9000000000000005E-2</v>
      </c>
      <c r="E66" s="10" t="str">
        <f ca="1">_xlfn.FORMULATEXT(D66)</f>
        <v>=(1-D60)/(D60*E55)</v>
      </c>
      <c r="G66" s="26"/>
      <c r="H66" s="26"/>
      <c r="I66" s="10">
        <f t="shared" si="0"/>
        <v>66</v>
      </c>
      <c r="J66" s="26"/>
    </row>
    <row r="67" spans="3:11" x14ac:dyDescent="0.25">
      <c r="C67" s="5" t="s">
        <v>116</v>
      </c>
      <c r="D67" s="2">
        <f>(1-D61)/(D61*E56)</f>
        <v>4.9000000000000002E-2</v>
      </c>
      <c r="E67" s="10" t="str">
        <f ca="1">_xlfn.FORMULATEXT(D67)</f>
        <v>=(1-D61)/(D61*E56)</v>
      </c>
      <c r="G67" s="26"/>
      <c r="H67" s="26"/>
      <c r="I67" s="10">
        <f t="shared" si="0"/>
        <v>67</v>
      </c>
      <c r="J67" s="26"/>
    </row>
    <row r="68" spans="3:11" x14ac:dyDescent="0.25">
      <c r="C68" s="10" t="s">
        <v>36</v>
      </c>
      <c r="D68" s="2">
        <f>D67+D66</f>
        <v>0.14800000000000002</v>
      </c>
      <c r="E68" s="10" t="str">
        <f ca="1">_xlfn.FORMULATEXT(D68)</f>
        <v>=D67+D66</v>
      </c>
      <c r="G68" s="26"/>
      <c r="H68" s="26"/>
      <c r="I68" s="10">
        <f t="shared" si="0"/>
        <v>68</v>
      </c>
      <c r="J68" s="26"/>
    </row>
    <row r="69" spans="3:11" x14ac:dyDescent="0.25">
      <c r="D69" s="70"/>
      <c r="G69" s="26"/>
      <c r="H69" s="26"/>
      <c r="I69" s="10">
        <f t="shared" si="0"/>
        <v>69</v>
      </c>
      <c r="J69" s="26"/>
    </row>
    <row r="70" spans="3:11" x14ac:dyDescent="0.25">
      <c r="C70" s="10" t="s">
        <v>37</v>
      </c>
      <c r="D70" s="70">
        <f>SQRT(D68)</f>
        <v>0.38470768123342691</v>
      </c>
      <c r="E70" s="10" t="str">
        <f ca="1">_xlfn.FORMULATEXT(D70)</f>
        <v>=SQRT(D68)</v>
      </c>
      <c r="G70" s="26"/>
      <c r="H70" s="26"/>
      <c r="I70" s="10">
        <f t="shared" si="0"/>
        <v>70</v>
      </c>
      <c r="J70" s="26"/>
    </row>
    <row r="71" spans="3:11" x14ac:dyDescent="0.25">
      <c r="C71" s="10" t="s">
        <v>38</v>
      </c>
      <c r="D71" s="70">
        <f>D65*D70</f>
        <v>0.75401319979343229</v>
      </c>
      <c r="E71" s="10" t="str">
        <f ca="1">_xlfn.FORMULATEXT(D71)</f>
        <v>=D65*D70</v>
      </c>
      <c r="G71" s="26"/>
      <c r="H71" s="26"/>
      <c r="I71" s="10">
        <f t="shared" si="0"/>
        <v>71</v>
      </c>
      <c r="J71" s="26"/>
    </row>
    <row r="72" spans="3:11" x14ac:dyDescent="0.25">
      <c r="C72" s="10" t="s">
        <v>120</v>
      </c>
      <c r="D72" s="70">
        <f>EXP(D71)</f>
        <v>2.1255130314309758</v>
      </c>
      <c r="E72" s="10" t="str">
        <f ca="1">_xlfn.FORMULATEXT(D72)</f>
        <v>=EXP(D71)</v>
      </c>
      <c r="G72" s="10" t="s">
        <v>136</v>
      </c>
      <c r="H72" s="26"/>
      <c r="I72" s="10">
        <f t="shared" si="0"/>
        <v>72</v>
      </c>
      <c r="J72" s="28"/>
    </row>
    <row r="73" spans="3:11" x14ac:dyDescent="0.25">
      <c r="D73" s="70"/>
      <c r="G73" s="26"/>
      <c r="H73" s="26"/>
      <c r="I73" s="10">
        <f t="shared" si="0"/>
        <v>73</v>
      </c>
      <c r="J73" s="27"/>
    </row>
    <row r="74" spans="3:11" x14ac:dyDescent="0.25">
      <c r="C74" s="10" t="s">
        <v>109</v>
      </c>
      <c r="D74" s="4">
        <f>D63-D71</f>
        <v>-6.0866019233487001E-2</v>
      </c>
      <c r="E74" s="10" t="str">
        <f ca="1">_xlfn.FORMULATEXT(D74)</f>
        <v>=D63-D71</v>
      </c>
      <c r="G74" s="26"/>
      <c r="H74" s="26"/>
      <c r="I74" s="10">
        <f t="shared" si="0"/>
        <v>74</v>
      </c>
      <c r="J74" s="27"/>
    </row>
    <row r="75" spans="3:11" x14ac:dyDescent="0.25">
      <c r="C75" s="10" t="s">
        <v>108</v>
      </c>
      <c r="D75" s="4">
        <f>D63+D71</f>
        <v>1.4471603803533775</v>
      </c>
      <c r="E75" s="10" t="str">
        <f ca="1">_xlfn.FORMULATEXT(D75)</f>
        <v>=D63+D71</v>
      </c>
      <c r="G75" s="26"/>
      <c r="H75" s="28"/>
      <c r="I75" s="10">
        <f t="shared" si="0"/>
        <v>75</v>
      </c>
      <c r="J75" s="27"/>
    </row>
    <row r="76" spans="3:11" x14ac:dyDescent="0.25">
      <c r="G76" s="26"/>
      <c r="H76" s="28"/>
      <c r="I76" s="10">
        <f t="shared" si="0"/>
        <v>76</v>
      </c>
      <c r="J76" s="27"/>
    </row>
    <row r="77" spans="3:11" x14ac:dyDescent="0.25">
      <c r="C77" s="19" t="s">
        <v>110</v>
      </c>
      <c r="D77" s="4">
        <f>D62-D72</f>
        <v>-0.12551303143097581</v>
      </c>
      <c r="E77" s="10" t="str">
        <f ca="1">_xlfn.FORMULATEXT(D77)</f>
        <v>=D62-D72</v>
      </c>
      <c r="G77" s="10" t="s">
        <v>135</v>
      </c>
      <c r="H77" s="27"/>
      <c r="I77" s="10">
        <f t="shared" si="0"/>
        <v>77</v>
      </c>
      <c r="J77" s="27"/>
    </row>
    <row r="78" spans="3:11" x14ac:dyDescent="0.25">
      <c r="C78" s="19" t="s">
        <v>111</v>
      </c>
      <c r="D78" s="70">
        <f>D62+D72</f>
        <v>4.1255130314309758</v>
      </c>
      <c r="E78" s="10" t="str">
        <f ca="1">_xlfn.FORMULATEXT(D78)</f>
        <v>=D62+D72</v>
      </c>
      <c r="G78" s="10" t="s">
        <v>135</v>
      </c>
      <c r="H78" s="27"/>
      <c r="I78" s="10">
        <f t="shared" si="0"/>
        <v>78</v>
      </c>
      <c r="J78" s="27"/>
      <c r="K78" s="1"/>
    </row>
    <row r="79" spans="3:11" x14ac:dyDescent="0.25">
      <c r="C79" s="1"/>
      <c r="D79" s="1"/>
      <c r="E79" s="26"/>
      <c r="F79" s="26"/>
      <c r="G79" s="28"/>
      <c r="H79" s="27"/>
      <c r="I79" s="10">
        <f t="shared" si="0"/>
        <v>79</v>
      </c>
      <c r="J79" s="27"/>
      <c r="K79" s="26"/>
    </row>
    <row r="80" spans="3:11" x14ac:dyDescent="0.25">
      <c r="C80" s="71" t="s">
        <v>124</v>
      </c>
      <c r="D80" s="10">
        <f>EXP(D74)</f>
        <v>0.94094930043949176</v>
      </c>
      <c r="E80" s="10" t="str">
        <f ca="1">_xlfn.FORMULATEXT(D80)</f>
        <v>=EXP(D74)</v>
      </c>
      <c r="G80" s="10" t="s">
        <v>129</v>
      </c>
      <c r="H80" s="27"/>
      <c r="I80" s="10">
        <f t="shared" si="0"/>
        <v>80</v>
      </c>
      <c r="J80" s="27"/>
      <c r="K80" s="26"/>
    </row>
    <row r="81" spans="1:11" x14ac:dyDescent="0.25">
      <c r="C81" s="71" t="s">
        <v>123</v>
      </c>
      <c r="D81" s="10">
        <f>EXP(D75)</f>
        <v>4.2510260628619507</v>
      </c>
      <c r="E81" s="10" t="str">
        <f ca="1">_xlfn.FORMULATEXT(D81)</f>
        <v>=EXP(D75)</v>
      </c>
      <c r="G81" s="10" t="s">
        <v>129</v>
      </c>
      <c r="H81" s="27"/>
      <c r="I81" s="10">
        <f t="shared" si="0"/>
        <v>81</v>
      </c>
      <c r="J81" s="27"/>
      <c r="K81" s="26"/>
    </row>
    <row r="82" spans="1:11" x14ac:dyDescent="0.25">
      <c r="C82" s="1"/>
      <c r="D82" s="1"/>
      <c r="E82" s="26"/>
      <c r="F82" s="26"/>
      <c r="I82" s="10">
        <f t="shared" si="0"/>
        <v>82</v>
      </c>
      <c r="K82" s="26"/>
    </row>
    <row r="83" spans="1:11" x14ac:dyDescent="0.25">
      <c r="A83" s="33" t="s">
        <v>43</v>
      </c>
      <c r="B83" s="33" t="s">
        <v>44</v>
      </c>
      <c r="C83" s="33" t="s">
        <v>45</v>
      </c>
      <c r="D83" s="33" t="s">
        <v>46</v>
      </c>
      <c r="E83" s="33" t="s">
        <v>47</v>
      </c>
      <c r="F83" s="33" t="s">
        <v>48</v>
      </c>
      <c r="G83" s="33" t="s">
        <v>49</v>
      </c>
      <c r="H83" s="32"/>
      <c r="I83" s="10">
        <f t="shared" si="0"/>
        <v>83</v>
      </c>
      <c r="K83" s="26"/>
    </row>
    <row r="84" spans="1:11" x14ac:dyDescent="0.25">
      <c r="B84" s="10" t="s">
        <v>137</v>
      </c>
      <c r="I84" s="10">
        <f t="shared" si="0"/>
        <v>84</v>
      </c>
      <c r="K84" s="26"/>
    </row>
    <row r="85" spans="1:11" x14ac:dyDescent="0.25">
      <c r="B85" s="6"/>
      <c r="C85" s="8" t="s">
        <v>21</v>
      </c>
      <c r="D85" s="8" t="s">
        <v>22</v>
      </c>
      <c r="E85" s="8" t="s">
        <v>8</v>
      </c>
      <c r="I85" s="10">
        <f t="shared" si="0"/>
        <v>85</v>
      </c>
    </row>
    <row r="86" spans="1:11" x14ac:dyDescent="0.25">
      <c r="B86" s="9" t="s">
        <v>122</v>
      </c>
      <c r="C86" s="7">
        <f>0.005*E86</f>
        <v>50</v>
      </c>
      <c r="D86" s="7">
        <f>E86-C86</f>
        <v>9950</v>
      </c>
      <c r="E86" s="7">
        <v>10000</v>
      </c>
      <c r="I86" s="10">
        <f t="shared" si="0"/>
        <v>86</v>
      </c>
    </row>
    <row r="87" spans="1:11" x14ac:dyDescent="0.25">
      <c r="B87" s="9" t="s">
        <v>121</v>
      </c>
      <c r="C87" s="76">
        <f>C86*G87</f>
        <v>67.876218857189613</v>
      </c>
      <c r="D87" s="7">
        <f>E87-C87</f>
        <v>9932.1237811428109</v>
      </c>
      <c r="E87" s="7">
        <v>10000</v>
      </c>
      <c r="G87" s="10">
        <v>1.3575243771437924</v>
      </c>
      <c r="H87" s="10" t="s">
        <v>132</v>
      </c>
      <c r="I87" s="10">
        <f t="shared" si="0"/>
        <v>87</v>
      </c>
    </row>
    <row r="88" spans="1:11" x14ac:dyDescent="0.25">
      <c r="B88" s="6"/>
      <c r="C88" s="7">
        <f>C87+C86</f>
        <v>117.87621885718961</v>
      </c>
      <c r="D88" s="7">
        <f t="shared" ref="D88" si="6">D87+D86</f>
        <v>19882.123781142811</v>
      </c>
      <c r="E88" s="7">
        <f t="shared" ref="E88" si="7">E87+E86</f>
        <v>20000</v>
      </c>
      <c r="I88" s="10">
        <f t="shared" si="0"/>
        <v>88</v>
      </c>
    </row>
    <row r="89" spans="1:11" x14ac:dyDescent="0.25">
      <c r="I89" s="10">
        <f t="shared" si="0"/>
        <v>89</v>
      </c>
    </row>
    <row r="90" spans="1:11" x14ac:dyDescent="0.25">
      <c r="I90" s="10">
        <f t="shared" ref="I90:I113" si="8">I89+1</f>
        <v>90</v>
      </c>
    </row>
    <row r="91" spans="1:11" x14ac:dyDescent="0.25">
      <c r="C91" s="10" t="s">
        <v>33</v>
      </c>
      <c r="D91" s="77">
        <f>C86/E86</f>
        <v>5.0000000000000001E-3</v>
      </c>
      <c r="E91" s="10" t="str">
        <f t="shared" ref="E91:E94" ca="1" si="9">_xlfn.FORMULATEXT(D91)</f>
        <v>=C86/E86</v>
      </c>
      <c r="I91" s="10">
        <f t="shared" si="8"/>
        <v>91</v>
      </c>
    </row>
    <row r="92" spans="1:11" x14ac:dyDescent="0.25">
      <c r="C92" s="10" t="s">
        <v>25</v>
      </c>
      <c r="D92" s="77">
        <f>C87/E87</f>
        <v>6.7876218857189615E-3</v>
      </c>
      <c r="E92" s="10" t="str">
        <f t="shared" ca="1" si="9"/>
        <v>=C87/E87</v>
      </c>
      <c r="I92" s="10">
        <f t="shared" si="8"/>
        <v>92</v>
      </c>
    </row>
    <row r="93" spans="1:11" x14ac:dyDescent="0.25">
      <c r="C93" s="10" t="s">
        <v>5</v>
      </c>
      <c r="D93" s="77">
        <f>D92/D91</f>
        <v>1.3575243771437924</v>
      </c>
      <c r="E93" s="10" t="str">
        <f t="shared" ca="1" si="9"/>
        <v>=D92/D91</v>
      </c>
      <c r="I93" s="10">
        <f t="shared" si="8"/>
        <v>93</v>
      </c>
    </row>
    <row r="94" spans="1:11" x14ac:dyDescent="0.25">
      <c r="C94" s="10" t="s">
        <v>26</v>
      </c>
      <c r="D94" s="77">
        <f>LN(D93)</f>
        <v>0.30566273004504751</v>
      </c>
      <c r="E94" s="10" t="str">
        <f t="shared" ca="1" si="9"/>
        <v>=LN(D93)</v>
      </c>
      <c r="I94" s="10">
        <f t="shared" si="8"/>
        <v>94</v>
      </c>
    </row>
    <row r="95" spans="1:11" x14ac:dyDescent="0.25">
      <c r="D95" s="1"/>
      <c r="G95" s="15"/>
      <c r="I95" s="10">
        <f t="shared" si="8"/>
        <v>95</v>
      </c>
    </row>
    <row r="96" spans="1:11" x14ac:dyDescent="0.25">
      <c r="C96" s="10" t="s">
        <v>2</v>
      </c>
      <c r="D96" s="3">
        <f>-_xlfn.NORM.S.INV(0.05)</f>
        <v>1.6448536269514726</v>
      </c>
      <c r="E96" s="10" t="str">
        <f ca="1">_xlfn.FORMULATEXT(D96)</f>
        <v>=-NORM.S.INV(0.05)</v>
      </c>
      <c r="G96" s="1"/>
      <c r="H96" s="1"/>
      <c r="I96" s="10">
        <f t="shared" si="8"/>
        <v>96</v>
      </c>
    </row>
    <row r="97" spans="3:9" x14ac:dyDescent="0.25">
      <c r="C97" s="5" t="s">
        <v>117</v>
      </c>
      <c r="D97" s="2">
        <f>(1-D91)/(D91*E86)</f>
        <v>1.9900000000000001E-2</v>
      </c>
      <c r="E97" s="10" t="str">
        <f ca="1">_xlfn.FORMULATEXT(D97)</f>
        <v>=(1-D91)/(D91*E86)</v>
      </c>
      <c r="G97" s="26"/>
      <c r="H97" s="26"/>
      <c r="I97" s="10">
        <f t="shared" si="8"/>
        <v>97</v>
      </c>
    </row>
    <row r="98" spans="3:9" x14ac:dyDescent="0.25">
      <c r="C98" s="5" t="s">
        <v>116</v>
      </c>
      <c r="D98" s="2">
        <f>(1-D92)/(D92*E87)</f>
        <v>1.4632700448502924E-2</v>
      </c>
      <c r="E98" s="10" t="str">
        <f ca="1">_xlfn.FORMULATEXT(D98)</f>
        <v>=(1-D92)/(D92*E87)</v>
      </c>
      <c r="G98" s="26"/>
      <c r="H98" s="26"/>
      <c r="I98" s="10">
        <f t="shared" si="8"/>
        <v>98</v>
      </c>
    </row>
    <row r="99" spans="3:9" x14ac:dyDescent="0.25">
      <c r="C99" s="10" t="s">
        <v>36</v>
      </c>
      <c r="D99" s="2">
        <f>D98+D97</f>
        <v>3.4532700448502929E-2</v>
      </c>
      <c r="E99" s="10" t="str">
        <f ca="1">_xlfn.FORMULATEXT(D99)</f>
        <v>=D98+D97</v>
      </c>
      <c r="G99" s="26"/>
      <c r="H99" s="26"/>
      <c r="I99" s="10">
        <f t="shared" si="8"/>
        <v>99</v>
      </c>
    </row>
    <row r="100" spans="3:9" x14ac:dyDescent="0.25">
      <c r="D100" s="70"/>
      <c r="G100" s="26"/>
      <c r="H100" s="26"/>
      <c r="I100" s="10">
        <f t="shared" si="8"/>
        <v>100</v>
      </c>
    </row>
    <row r="101" spans="3:9" x14ac:dyDescent="0.25">
      <c r="C101" s="10" t="s">
        <v>37</v>
      </c>
      <c r="D101" s="70">
        <f>SQRT(D99)</f>
        <v>0.18582976200948795</v>
      </c>
      <c r="E101" s="10" t="str">
        <f ca="1">_xlfn.FORMULATEXT(D101)</f>
        <v>=SQRT(D99)</v>
      </c>
      <c r="G101" s="26"/>
      <c r="H101" s="26"/>
      <c r="I101" s="10">
        <f t="shared" si="8"/>
        <v>101</v>
      </c>
    </row>
    <row r="102" spans="3:9" x14ac:dyDescent="0.25">
      <c r="C102" s="10" t="s">
        <v>38</v>
      </c>
      <c r="D102" s="70">
        <f>D96*D101</f>
        <v>0.30566275803683524</v>
      </c>
      <c r="E102" s="10" t="str">
        <f ca="1">_xlfn.FORMULATEXT(D102)</f>
        <v>=D96*D101</v>
      </c>
      <c r="G102" s="26"/>
      <c r="H102" s="26"/>
      <c r="I102" s="10">
        <f t="shared" si="8"/>
        <v>102</v>
      </c>
    </row>
    <row r="103" spans="3:9" x14ac:dyDescent="0.25">
      <c r="H103" s="26"/>
      <c r="I103" s="10">
        <f t="shared" si="8"/>
        <v>103</v>
      </c>
    </row>
    <row r="104" spans="3:9" x14ac:dyDescent="0.25">
      <c r="C104" s="10" t="s">
        <v>120</v>
      </c>
      <c r="D104" s="70">
        <f>EXP(D102)</f>
        <v>1.3575244151433272</v>
      </c>
      <c r="E104" s="10" t="str">
        <f ca="1">_xlfn.FORMULATEXT(D104)</f>
        <v>=EXP(D102)</v>
      </c>
      <c r="G104" s="10" t="s">
        <v>136</v>
      </c>
      <c r="H104" s="26"/>
      <c r="I104" s="10">
        <f t="shared" si="8"/>
        <v>104</v>
      </c>
    </row>
    <row r="105" spans="3:9" x14ac:dyDescent="0.25">
      <c r="C105" s="19" t="s">
        <v>110</v>
      </c>
      <c r="D105" s="4">
        <f>D93-D104</f>
        <v>-3.7999534852062311E-8</v>
      </c>
      <c r="E105" s="10" t="str">
        <f ca="1">_xlfn.FORMULATEXT(D105)</f>
        <v>=D93-D104</v>
      </c>
      <c r="G105" s="10" t="s">
        <v>135</v>
      </c>
      <c r="H105" s="26"/>
      <c r="I105" s="10">
        <f t="shared" si="8"/>
        <v>105</v>
      </c>
    </row>
    <row r="106" spans="3:9" x14ac:dyDescent="0.25">
      <c r="C106" s="19" t="s">
        <v>111</v>
      </c>
      <c r="D106" s="70">
        <f>D93+D104</f>
        <v>2.7150487922871198</v>
      </c>
      <c r="E106" s="10" t="str">
        <f ca="1">_xlfn.FORMULATEXT(D106)</f>
        <v>=D93+D104</v>
      </c>
      <c r="G106" s="10" t="s">
        <v>135</v>
      </c>
      <c r="H106" s="28"/>
      <c r="I106" s="10">
        <f t="shared" si="8"/>
        <v>106</v>
      </c>
    </row>
    <row r="107" spans="3:9" x14ac:dyDescent="0.25">
      <c r="G107" s="26"/>
      <c r="H107" s="28"/>
      <c r="I107" s="10">
        <f t="shared" si="8"/>
        <v>107</v>
      </c>
    </row>
    <row r="108" spans="3:9" x14ac:dyDescent="0.25">
      <c r="C108" s="10" t="s">
        <v>109</v>
      </c>
      <c r="D108" s="4">
        <f>D94-D102</f>
        <v>-2.7991787721060035E-8</v>
      </c>
      <c r="E108" s="10" t="str">
        <f ca="1">_xlfn.FORMULATEXT(D108)</f>
        <v>=D94-D102</v>
      </c>
      <c r="H108" s="27"/>
      <c r="I108" s="10">
        <f t="shared" si="8"/>
        <v>108</v>
      </c>
    </row>
    <row r="109" spans="3:9" x14ac:dyDescent="0.25">
      <c r="C109" s="10" t="s">
        <v>108</v>
      </c>
      <c r="D109" s="4">
        <f>D94+D102</f>
        <v>0.61132548808188281</v>
      </c>
      <c r="E109" s="10" t="str">
        <f ca="1">_xlfn.FORMULATEXT(D109)</f>
        <v>=D94+D102</v>
      </c>
      <c r="H109" s="27"/>
      <c r="I109" s="10">
        <f t="shared" si="8"/>
        <v>109</v>
      </c>
    </row>
    <row r="110" spans="3:9" x14ac:dyDescent="0.25">
      <c r="C110" s="1"/>
      <c r="D110" s="1"/>
      <c r="E110" s="26"/>
      <c r="F110" s="26"/>
      <c r="G110" s="28"/>
      <c r="H110" s="27"/>
      <c r="I110" s="10">
        <f t="shared" si="8"/>
        <v>110</v>
      </c>
    </row>
    <row r="111" spans="3:9" x14ac:dyDescent="0.25">
      <c r="C111" s="71" t="s">
        <v>124</v>
      </c>
      <c r="D111" s="10">
        <f>EXP(D108)</f>
        <v>0.99999997200821267</v>
      </c>
      <c r="E111" s="10" t="str">
        <f ca="1">_xlfn.FORMULATEXT(D111)</f>
        <v>=EXP(D108)</v>
      </c>
      <c r="G111" s="10" t="s">
        <v>129</v>
      </c>
      <c r="H111" s="27"/>
      <c r="I111" s="10">
        <f t="shared" si="8"/>
        <v>111</v>
      </c>
    </row>
    <row r="112" spans="3:9" x14ac:dyDescent="0.25">
      <c r="C112" s="71" t="s">
        <v>123</v>
      </c>
      <c r="D112" s="10">
        <f>EXP(D109)</f>
        <v>1.8428724861249364</v>
      </c>
      <c r="E112" s="10" t="str">
        <f ca="1">_xlfn.FORMULATEXT(D112)</f>
        <v>=EXP(D109)</v>
      </c>
      <c r="G112" s="10" t="s">
        <v>129</v>
      </c>
      <c r="H112" s="27"/>
      <c r="I112" s="10">
        <f t="shared" si="8"/>
        <v>112</v>
      </c>
    </row>
    <row r="113" spans="9:9" x14ac:dyDescent="0.25">
      <c r="I113" s="10">
        <f t="shared" si="8"/>
        <v>113</v>
      </c>
    </row>
  </sheetData>
  <hyperlinks>
    <hyperlink ref="B1" r:id="rId1"/>
    <hyperlink ref="B5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RR-Calculator</vt:lpstr>
      <vt:lpstr>RR-Model</vt:lpstr>
      <vt:lpstr>RR-CI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2014-11-16T16:37:22Z</cp:lastPrinted>
  <dcterms:created xsi:type="dcterms:W3CDTF">2014-10-13T11:39:12Z</dcterms:created>
  <dcterms:modified xsi:type="dcterms:W3CDTF">2015-01-21T03:57:50Z</dcterms:modified>
</cp:coreProperties>
</file>