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4\0Bk\1Classes\1Excel\BUS379\Ch07-Continuous\Ch07-LogNormal\2013\XLSX-LogNorm-Ratio\"/>
    </mc:Choice>
  </mc:AlternateContent>
  <bookViews>
    <workbookView xWindow="0" yWindow="0" windowWidth="17190" windowHeight="9435"/>
  </bookViews>
  <sheets>
    <sheet name="S1" sheetId="3" r:id="rId1"/>
    <sheet name="S2" sheetId="1" r:id="rId2"/>
    <sheet name="S3" sheetId="4" r:id="rId3"/>
  </sheets>
  <calcPr calcId="152511"/>
</workbook>
</file>

<file path=xl/calcChain.xml><?xml version="1.0" encoding="utf-8"?>
<calcChain xmlns="http://schemas.openxmlformats.org/spreadsheetml/2006/main">
  <c r="B51" i="1" l="1"/>
  <c r="A5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5" i="1"/>
  <c r="C51" i="1"/>
  <c r="I45" i="1" l="1"/>
  <c r="I46" i="1"/>
  <c r="H45" i="1"/>
  <c r="H46" i="1"/>
  <c r="I47" i="1"/>
  <c r="H47" i="1"/>
  <c r="J45" i="1"/>
  <c r="J47" i="1"/>
  <c r="J46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  <c r="B5" i="1"/>
  <c r="C5" i="1" s="1"/>
  <c r="D5" i="1" s="1"/>
  <c r="E5" i="1"/>
  <c r="F5" i="1"/>
  <c r="G5" i="1"/>
  <c r="B6" i="1"/>
  <c r="C6" i="1" s="1"/>
  <c r="D6" i="1" s="1"/>
  <c r="E6" i="1"/>
  <c r="F6" i="1"/>
  <c r="G6" i="1"/>
  <c r="B7" i="1"/>
  <c r="C7" i="1"/>
  <c r="D7" i="1"/>
  <c r="E7" i="1"/>
  <c r="F7" i="1"/>
  <c r="G7" i="1"/>
  <c r="B8" i="1"/>
  <c r="F8" i="1" s="1"/>
  <c r="C8" i="1"/>
  <c r="D8" i="1"/>
  <c r="E8" i="1"/>
  <c r="G8" i="1"/>
  <c r="B9" i="1"/>
  <c r="E9" i="1" s="1"/>
  <c r="C9" i="1"/>
  <c r="D9" i="1"/>
  <c r="F9" i="1"/>
  <c r="G9" i="1"/>
  <c r="B10" i="1"/>
  <c r="E10" i="1" s="1"/>
  <c r="C10" i="1"/>
  <c r="D10" i="1" s="1"/>
  <c r="G10" i="1"/>
  <c r="B11" i="1"/>
  <c r="G11" i="1"/>
  <c r="B12" i="1"/>
  <c r="C12" i="1"/>
  <c r="D12" i="1" s="1"/>
  <c r="E12" i="1"/>
  <c r="F12" i="1"/>
  <c r="G12" i="1"/>
  <c r="B13" i="1"/>
  <c r="C13" i="1" s="1"/>
  <c r="D13" i="1" s="1"/>
  <c r="G13" i="1"/>
  <c r="B14" i="1"/>
  <c r="E14" i="1" s="1"/>
  <c r="C14" i="1"/>
  <c r="D14" i="1" s="1"/>
  <c r="F14" i="1"/>
  <c r="G14" i="1"/>
  <c r="B15" i="1"/>
  <c r="C15" i="1" s="1"/>
  <c r="D15" i="1" s="1"/>
  <c r="E15" i="1"/>
  <c r="F15" i="1"/>
  <c r="G15" i="1"/>
  <c r="B16" i="1"/>
  <c r="F16" i="1" s="1"/>
  <c r="C16" i="1"/>
  <c r="D16" i="1"/>
  <c r="E16" i="1"/>
  <c r="G16" i="1"/>
  <c r="B17" i="1"/>
  <c r="E17" i="1" s="1"/>
  <c r="C17" i="1"/>
  <c r="D17" i="1"/>
  <c r="F17" i="1"/>
  <c r="G17" i="1"/>
  <c r="B18" i="1"/>
  <c r="E18" i="1" s="1"/>
  <c r="C18" i="1"/>
  <c r="D18" i="1" s="1"/>
  <c r="G18" i="1"/>
  <c r="B19" i="1"/>
  <c r="G19" i="1"/>
  <c r="B20" i="1"/>
  <c r="C20" i="1"/>
  <c r="D20" i="1" s="1"/>
  <c r="E20" i="1"/>
  <c r="F20" i="1"/>
  <c r="G20" i="1"/>
  <c r="B21" i="1"/>
  <c r="C21" i="1" s="1"/>
  <c r="D21" i="1" s="1"/>
  <c r="G21" i="1"/>
  <c r="B22" i="1"/>
  <c r="E22" i="1" s="1"/>
  <c r="C22" i="1"/>
  <c r="D22" i="1" s="1"/>
  <c r="F22" i="1"/>
  <c r="G22" i="1"/>
  <c r="B23" i="1"/>
  <c r="C23" i="1" s="1"/>
  <c r="D23" i="1" s="1"/>
  <c r="E23" i="1"/>
  <c r="F23" i="1"/>
  <c r="G23" i="1"/>
  <c r="B24" i="1"/>
  <c r="F24" i="1" s="1"/>
  <c r="C24" i="1"/>
  <c r="D24" i="1"/>
  <c r="E24" i="1"/>
  <c r="G24" i="1"/>
  <c r="B25" i="1"/>
  <c r="E25" i="1" s="1"/>
  <c r="C25" i="1"/>
  <c r="D25" i="1"/>
  <c r="F25" i="1"/>
  <c r="G25" i="1"/>
  <c r="B26" i="1"/>
  <c r="G26" i="1"/>
  <c r="H26" i="1" s="1"/>
  <c r="B27" i="1"/>
  <c r="G27" i="1"/>
  <c r="H27" i="1" s="1"/>
  <c r="B28" i="1"/>
  <c r="C28" i="1"/>
  <c r="D28" i="1" s="1"/>
  <c r="E28" i="1"/>
  <c r="F28" i="1"/>
  <c r="G28" i="1"/>
  <c r="B29" i="1"/>
  <c r="C29" i="1" s="1"/>
  <c r="D29" i="1" s="1"/>
  <c r="G29" i="1"/>
  <c r="B30" i="1"/>
  <c r="C30" i="1"/>
  <c r="D30" i="1" s="1"/>
  <c r="E30" i="1"/>
  <c r="F30" i="1"/>
  <c r="G30" i="1"/>
  <c r="B31" i="1"/>
  <c r="C31" i="1" s="1"/>
  <c r="D31" i="1" s="1"/>
  <c r="E31" i="1"/>
  <c r="F31" i="1"/>
  <c r="G31" i="1"/>
  <c r="B32" i="1"/>
  <c r="F32" i="1" s="1"/>
  <c r="C32" i="1"/>
  <c r="D32" i="1"/>
  <c r="E32" i="1"/>
  <c r="G32" i="1"/>
  <c r="B33" i="1"/>
  <c r="E33" i="1" s="1"/>
  <c r="C33" i="1"/>
  <c r="D33" i="1" s="1"/>
  <c r="F33" i="1"/>
  <c r="G33" i="1"/>
  <c r="B34" i="1"/>
  <c r="C34" i="1"/>
  <c r="D34" i="1" s="1"/>
  <c r="G34" i="1"/>
  <c r="B35" i="1"/>
  <c r="G35" i="1"/>
  <c r="B36" i="1"/>
  <c r="C36" i="1"/>
  <c r="D36" i="1" s="1"/>
  <c r="E36" i="1"/>
  <c r="F36" i="1"/>
  <c r="G36" i="1"/>
  <c r="B37" i="1"/>
  <c r="C37" i="1" s="1"/>
  <c r="D37" i="1" s="1"/>
  <c r="G37" i="1"/>
  <c r="B38" i="1"/>
  <c r="C38" i="1"/>
  <c r="D38" i="1" s="1"/>
  <c r="E38" i="1"/>
  <c r="F38" i="1"/>
  <c r="G38" i="1"/>
  <c r="B39" i="1"/>
  <c r="C39" i="1" s="1"/>
  <c r="D39" i="1" s="1"/>
  <c r="E39" i="1"/>
  <c r="F39" i="1"/>
  <c r="G39" i="1"/>
  <c r="B40" i="1"/>
  <c r="F40" i="1" s="1"/>
  <c r="C40" i="1"/>
  <c r="D40" i="1"/>
  <c r="E40" i="1"/>
  <c r="G40" i="1"/>
  <c r="B41" i="1"/>
  <c r="E41" i="1" s="1"/>
  <c r="C41" i="1"/>
  <c r="D41" i="1"/>
  <c r="F41" i="1"/>
  <c r="G41" i="1"/>
  <c r="B42" i="1"/>
  <c r="C42" i="1"/>
  <c r="D42" i="1" s="1"/>
  <c r="G42" i="1"/>
  <c r="E26" i="1" l="1"/>
  <c r="F26" i="1"/>
  <c r="C27" i="1"/>
  <c r="D27" i="1" s="1"/>
  <c r="I27" i="1" s="1"/>
  <c r="J27" i="1" s="1"/>
  <c r="E27" i="1"/>
  <c r="F27" i="1"/>
  <c r="E42" i="1"/>
  <c r="F42" i="1"/>
  <c r="E34" i="1"/>
  <c r="F34" i="1"/>
  <c r="C19" i="1"/>
  <c r="D19" i="1" s="1"/>
  <c r="E19" i="1"/>
  <c r="F19" i="1"/>
  <c r="C11" i="1"/>
  <c r="D11" i="1" s="1"/>
  <c r="E11" i="1"/>
  <c r="F11" i="1"/>
  <c r="C35" i="1"/>
  <c r="D35" i="1" s="1"/>
  <c r="E35" i="1"/>
  <c r="F35" i="1"/>
  <c r="C26" i="1"/>
  <c r="D26" i="1" s="1"/>
  <c r="I26" i="1" s="1"/>
  <c r="J26" i="1" s="1"/>
  <c r="F37" i="1"/>
  <c r="F29" i="1"/>
  <c r="F21" i="1"/>
  <c r="F13" i="1"/>
  <c r="E37" i="1"/>
  <c r="E29" i="1"/>
  <c r="E21" i="1"/>
  <c r="E13" i="1"/>
  <c r="F18" i="1"/>
  <c r="F10" i="1"/>
  <c r="S58" i="4"/>
  <c r="J36" i="4"/>
  <c r="J37" i="4"/>
  <c r="J35" i="4"/>
  <c r="N58" i="4"/>
  <c r="J29" i="4"/>
  <c r="Q59" i="4"/>
  <c r="Q60" i="4"/>
  <c r="Q61" i="4"/>
  <c r="Q62" i="4"/>
  <c r="Q63" i="4"/>
  <c r="Q64" i="4"/>
  <c r="R64" i="4" s="1"/>
  <c r="S64" i="4" s="1"/>
  <c r="T64" i="4" s="1"/>
  <c r="Q65" i="4"/>
  <c r="R65" i="4" s="1"/>
  <c r="Q66" i="4"/>
  <c r="R66" i="4" s="1"/>
  <c r="Q67" i="4"/>
  <c r="Q68" i="4"/>
  <c r="Q69" i="4"/>
  <c r="Q70" i="4"/>
  <c r="Q71" i="4"/>
  <c r="Q72" i="4"/>
  <c r="R72" i="4" s="1"/>
  <c r="S72" i="4" s="1"/>
  <c r="T72" i="4" s="1"/>
  <c r="Q73" i="4"/>
  <c r="R73" i="4" s="1"/>
  <c r="Q74" i="4"/>
  <c r="R74" i="4" s="1"/>
  <c r="Q75" i="4"/>
  <c r="Q76" i="4"/>
  <c r="Q77" i="4"/>
  <c r="Q78" i="4"/>
  <c r="Q79" i="4"/>
  <c r="Q80" i="4"/>
  <c r="Q81" i="4"/>
  <c r="R81" i="4" s="1"/>
  <c r="S81" i="4" s="1"/>
  <c r="T81" i="4" s="1"/>
  <c r="Q82" i="4"/>
  <c r="R82" i="4" s="1"/>
  <c r="Q83" i="4"/>
  <c r="Q84" i="4"/>
  <c r="Q85" i="4"/>
  <c r="Q86" i="4"/>
  <c r="Q87" i="4"/>
  <c r="Q88" i="4"/>
  <c r="R88" i="4" s="1"/>
  <c r="S88" i="4" s="1"/>
  <c r="T88" i="4" s="1"/>
  <c r="Q89" i="4"/>
  <c r="R89" i="4" s="1"/>
  <c r="Q90" i="4"/>
  <c r="R90" i="4" s="1"/>
  <c r="Q91" i="4"/>
  <c r="Q92" i="4"/>
  <c r="Q93" i="4"/>
  <c r="Q94" i="4"/>
  <c r="Q95" i="4"/>
  <c r="Q96" i="4"/>
  <c r="R96" i="4" s="1"/>
  <c r="S96" i="4" s="1"/>
  <c r="T96" i="4" s="1"/>
  <c r="Q97" i="4"/>
  <c r="R97" i="4" s="1"/>
  <c r="Q98" i="4"/>
  <c r="R98" i="4" s="1"/>
  <c r="Q99" i="4"/>
  <c r="Q100" i="4"/>
  <c r="Q101" i="4"/>
  <c r="Q102" i="4"/>
  <c r="Q103" i="4"/>
  <c r="Q104" i="4"/>
  <c r="R104" i="4" s="1"/>
  <c r="S104" i="4" s="1"/>
  <c r="T104" i="4" s="1"/>
  <c r="Q105" i="4"/>
  <c r="R105" i="4" s="1"/>
  <c r="Q106" i="4"/>
  <c r="R106" i="4" s="1"/>
  <c r="Q107" i="4"/>
  <c r="R107" i="4" s="1"/>
  <c r="Q58" i="4"/>
  <c r="L161" i="4"/>
  <c r="M161" i="4" s="1"/>
  <c r="N161" i="4" s="1"/>
  <c r="O161" i="4" s="1"/>
  <c r="Q160" i="4"/>
  <c r="R160" i="4" s="1"/>
  <c r="L160" i="4"/>
  <c r="M160" i="4" s="1"/>
  <c r="Q159" i="4"/>
  <c r="R159" i="4" s="1"/>
  <c r="L159" i="4"/>
  <c r="M159" i="4" s="1"/>
  <c r="Q158" i="4"/>
  <c r="R158" i="4" s="1"/>
  <c r="L158" i="4"/>
  <c r="M158" i="4" s="1"/>
  <c r="Q157" i="4"/>
  <c r="R157" i="4" s="1"/>
  <c r="L157" i="4"/>
  <c r="M157" i="4" s="1"/>
  <c r="N157" i="4" s="1"/>
  <c r="O157" i="4" s="1"/>
  <c r="Q156" i="4"/>
  <c r="R156" i="4" s="1"/>
  <c r="S156" i="4" s="1"/>
  <c r="T156" i="4" s="1"/>
  <c r="L156" i="4"/>
  <c r="M156" i="4" s="1"/>
  <c r="Q155" i="4"/>
  <c r="R155" i="4" s="1"/>
  <c r="L155" i="4"/>
  <c r="M155" i="4" s="1"/>
  <c r="Q154" i="4"/>
  <c r="R154" i="4" s="1"/>
  <c r="L154" i="4"/>
  <c r="M154" i="4" s="1"/>
  <c r="Q153" i="4"/>
  <c r="R153" i="4" s="1"/>
  <c r="L153" i="4"/>
  <c r="M153" i="4" s="1"/>
  <c r="N153" i="4" s="1"/>
  <c r="O153" i="4" s="1"/>
  <c r="Q152" i="4"/>
  <c r="R152" i="4" s="1"/>
  <c r="S152" i="4" s="1"/>
  <c r="T152" i="4" s="1"/>
  <c r="L152" i="4"/>
  <c r="M152" i="4" s="1"/>
  <c r="Q151" i="4"/>
  <c r="R151" i="4" s="1"/>
  <c r="L151" i="4"/>
  <c r="M151" i="4" s="1"/>
  <c r="Q150" i="4"/>
  <c r="R150" i="4" s="1"/>
  <c r="L150" i="4"/>
  <c r="M150" i="4" s="1"/>
  <c r="Q149" i="4"/>
  <c r="R149" i="4" s="1"/>
  <c r="L149" i="4"/>
  <c r="M149" i="4" s="1"/>
  <c r="N149" i="4" s="1"/>
  <c r="O149" i="4" s="1"/>
  <c r="Q148" i="4"/>
  <c r="R148" i="4" s="1"/>
  <c r="S148" i="4" s="1"/>
  <c r="T148" i="4" s="1"/>
  <c r="L148" i="4"/>
  <c r="M148" i="4" s="1"/>
  <c r="Q147" i="4"/>
  <c r="R147" i="4" s="1"/>
  <c r="L147" i="4"/>
  <c r="M147" i="4" s="1"/>
  <c r="Q146" i="4"/>
  <c r="R146" i="4" s="1"/>
  <c r="L146" i="4"/>
  <c r="M146" i="4" s="1"/>
  <c r="Q145" i="4"/>
  <c r="R145" i="4" s="1"/>
  <c r="L145" i="4"/>
  <c r="M145" i="4" s="1"/>
  <c r="N145" i="4" s="1"/>
  <c r="O145" i="4" s="1"/>
  <c r="Q144" i="4"/>
  <c r="R144" i="4" s="1"/>
  <c r="S144" i="4" s="1"/>
  <c r="T144" i="4" s="1"/>
  <c r="L144" i="4"/>
  <c r="M144" i="4" s="1"/>
  <c r="Q143" i="4"/>
  <c r="R143" i="4" s="1"/>
  <c r="L143" i="4"/>
  <c r="M143" i="4" s="1"/>
  <c r="Q142" i="4"/>
  <c r="R142" i="4" s="1"/>
  <c r="L142" i="4"/>
  <c r="M142" i="4" s="1"/>
  <c r="Q141" i="4"/>
  <c r="R141" i="4" s="1"/>
  <c r="L141" i="4"/>
  <c r="M141" i="4" s="1"/>
  <c r="N141" i="4" s="1"/>
  <c r="O141" i="4" s="1"/>
  <c r="Q140" i="4"/>
  <c r="R140" i="4" s="1"/>
  <c r="S140" i="4" s="1"/>
  <c r="T140" i="4" s="1"/>
  <c r="L140" i="4"/>
  <c r="M140" i="4" s="1"/>
  <c r="Q139" i="4"/>
  <c r="R139" i="4" s="1"/>
  <c r="L139" i="4"/>
  <c r="M139" i="4" s="1"/>
  <c r="Q138" i="4"/>
  <c r="R138" i="4" s="1"/>
  <c r="L138" i="4"/>
  <c r="M138" i="4" s="1"/>
  <c r="Q137" i="4"/>
  <c r="R137" i="4" s="1"/>
  <c r="L137" i="4"/>
  <c r="M137" i="4" s="1"/>
  <c r="N137" i="4" s="1"/>
  <c r="O137" i="4" s="1"/>
  <c r="Q136" i="4"/>
  <c r="R136" i="4" s="1"/>
  <c r="S136" i="4" s="1"/>
  <c r="T136" i="4" s="1"/>
  <c r="L136" i="4"/>
  <c r="M136" i="4" s="1"/>
  <c r="Q135" i="4"/>
  <c r="R135" i="4" s="1"/>
  <c r="L135" i="4"/>
  <c r="M135" i="4" s="1"/>
  <c r="Q134" i="4"/>
  <c r="R134" i="4" s="1"/>
  <c r="L134" i="4"/>
  <c r="M134" i="4" s="1"/>
  <c r="Q133" i="4"/>
  <c r="R133" i="4" s="1"/>
  <c r="L133" i="4"/>
  <c r="M133" i="4" s="1"/>
  <c r="N133" i="4" s="1"/>
  <c r="O133" i="4" s="1"/>
  <c r="Q132" i="4"/>
  <c r="R132" i="4" s="1"/>
  <c r="S132" i="4" s="1"/>
  <c r="T132" i="4" s="1"/>
  <c r="L132" i="4"/>
  <c r="M132" i="4" s="1"/>
  <c r="Q131" i="4"/>
  <c r="R131" i="4" s="1"/>
  <c r="L131" i="4"/>
  <c r="M131" i="4" s="1"/>
  <c r="Q130" i="4"/>
  <c r="R130" i="4" s="1"/>
  <c r="L130" i="4"/>
  <c r="M130" i="4" s="1"/>
  <c r="Q129" i="4"/>
  <c r="R129" i="4" s="1"/>
  <c r="L129" i="4"/>
  <c r="M129" i="4" s="1"/>
  <c r="N129" i="4" s="1"/>
  <c r="O129" i="4" s="1"/>
  <c r="Q128" i="4"/>
  <c r="R128" i="4" s="1"/>
  <c r="S128" i="4" s="1"/>
  <c r="T128" i="4" s="1"/>
  <c r="L128" i="4"/>
  <c r="M128" i="4" s="1"/>
  <c r="Q127" i="4"/>
  <c r="R127" i="4" s="1"/>
  <c r="L127" i="4"/>
  <c r="M127" i="4" s="1"/>
  <c r="Q126" i="4"/>
  <c r="R126" i="4" s="1"/>
  <c r="L126" i="4"/>
  <c r="M126" i="4" s="1"/>
  <c r="Q125" i="4"/>
  <c r="R125" i="4" s="1"/>
  <c r="L125" i="4"/>
  <c r="M125" i="4" s="1"/>
  <c r="Q124" i="4"/>
  <c r="R124" i="4" s="1"/>
  <c r="L124" i="4"/>
  <c r="M124" i="4" s="1"/>
  <c r="Q123" i="4"/>
  <c r="R123" i="4" s="1"/>
  <c r="L123" i="4"/>
  <c r="M123" i="4" s="1"/>
  <c r="Q122" i="4"/>
  <c r="R122" i="4" s="1"/>
  <c r="L122" i="4"/>
  <c r="M122" i="4" s="1"/>
  <c r="Q121" i="4"/>
  <c r="R121" i="4" s="1"/>
  <c r="L121" i="4"/>
  <c r="M121" i="4" s="1"/>
  <c r="N121" i="4" s="1"/>
  <c r="O121" i="4" s="1"/>
  <c r="Q120" i="4"/>
  <c r="R120" i="4" s="1"/>
  <c r="L120" i="4"/>
  <c r="M120" i="4" s="1"/>
  <c r="Q119" i="4"/>
  <c r="R119" i="4" s="1"/>
  <c r="L119" i="4"/>
  <c r="M119" i="4" s="1"/>
  <c r="N119" i="4" s="1"/>
  <c r="O119" i="4" s="1"/>
  <c r="Q118" i="4"/>
  <c r="R118" i="4" s="1"/>
  <c r="L118" i="4"/>
  <c r="M118" i="4" s="1"/>
  <c r="Q117" i="4"/>
  <c r="R117" i="4" s="1"/>
  <c r="L117" i="4"/>
  <c r="M117" i="4" s="1"/>
  <c r="Q116" i="4"/>
  <c r="R116" i="4" s="1"/>
  <c r="L116" i="4"/>
  <c r="M116" i="4" s="1"/>
  <c r="Q115" i="4"/>
  <c r="R115" i="4" s="1"/>
  <c r="L115" i="4"/>
  <c r="M115" i="4" s="1"/>
  <c r="N115" i="4" s="1"/>
  <c r="O115" i="4" s="1"/>
  <c r="Q114" i="4"/>
  <c r="R114" i="4" s="1"/>
  <c r="L114" i="4"/>
  <c r="M114" i="4" s="1"/>
  <c r="Q113" i="4"/>
  <c r="R113" i="4" s="1"/>
  <c r="L113" i="4"/>
  <c r="M113" i="4" s="1"/>
  <c r="Q112" i="4"/>
  <c r="R112" i="4" s="1"/>
  <c r="S112" i="4" s="1"/>
  <c r="T112" i="4" s="1"/>
  <c r="L112" i="4"/>
  <c r="M112" i="4" s="1"/>
  <c r="I38" i="4"/>
  <c r="J38" i="4" s="1"/>
  <c r="R62" i="4"/>
  <c r="R63" i="4"/>
  <c r="R67" i="4"/>
  <c r="R68" i="4"/>
  <c r="R69" i="4"/>
  <c r="R70" i="4"/>
  <c r="R71" i="4"/>
  <c r="R75" i="4"/>
  <c r="R76" i="4"/>
  <c r="R77" i="4"/>
  <c r="R78" i="4"/>
  <c r="R79" i="4"/>
  <c r="R80" i="4"/>
  <c r="S80" i="4" s="1"/>
  <c r="T80" i="4" s="1"/>
  <c r="R83" i="4"/>
  <c r="R84" i="4"/>
  <c r="R85" i="4"/>
  <c r="R86" i="4"/>
  <c r="R87" i="4"/>
  <c r="R91" i="4"/>
  <c r="R92" i="4"/>
  <c r="R93" i="4"/>
  <c r="R94" i="4"/>
  <c r="R95" i="4"/>
  <c r="R99" i="4"/>
  <c r="R100" i="4"/>
  <c r="R101" i="4"/>
  <c r="R102" i="4"/>
  <c r="R103" i="4"/>
  <c r="R61" i="4"/>
  <c r="R60" i="4"/>
  <c r="R59" i="4"/>
  <c r="R58" i="4"/>
  <c r="L62" i="4"/>
  <c r="M62" i="4" s="1"/>
  <c r="L63" i="4"/>
  <c r="M63" i="4" s="1"/>
  <c r="N63" i="4" s="1"/>
  <c r="O63" i="4" s="1"/>
  <c r="L64" i="4"/>
  <c r="M64" i="4" s="1"/>
  <c r="L65" i="4"/>
  <c r="M65" i="4" s="1"/>
  <c r="L66" i="4"/>
  <c r="M66" i="4" s="1"/>
  <c r="N66" i="4" s="1"/>
  <c r="O66" i="4" s="1"/>
  <c r="L67" i="4"/>
  <c r="M67" i="4" s="1"/>
  <c r="L68" i="4"/>
  <c r="M68" i="4" s="1"/>
  <c r="N68" i="4" s="1"/>
  <c r="O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N74" i="4" s="1"/>
  <c r="O74" i="4" s="1"/>
  <c r="L75" i="4"/>
  <c r="M75" i="4" s="1"/>
  <c r="L76" i="4"/>
  <c r="M76" i="4" s="1"/>
  <c r="N76" i="4" s="1"/>
  <c r="O76" i="4" s="1"/>
  <c r="L77" i="4"/>
  <c r="M77" i="4" s="1"/>
  <c r="L78" i="4"/>
  <c r="M78" i="4" s="1"/>
  <c r="L79" i="4"/>
  <c r="M79" i="4" s="1"/>
  <c r="N79" i="4" s="1"/>
  <c r="O79" i="4" s="1"/>
  <c r="L80" i="4"/>
  <c r="M80" i="4" s="1"/>
  <c r="L81" i="4"/>
  <c r="M81" i="4" s="1"/>
  <c r="L82" i="4"/>
  <c r="M82" i="4" s="1"/>
  <c r="N82" i="4" s="1"/>
  <c r="O82" i="4" s="1"/>
  <c r="L83" i="4"/>
  <c r="M83" i="4" s="1"/>
  <c r="L84" i="4"/>
  <c r="M84" i="4" s="1"/>
  <c r="N84" i="4" s="1"/>
  <c r="O84" i="4" s="1"/>
  <c r="L85" i="4"/>
  <c r="M85" i="4" s="1"/>
  <c r="L86" i="4"/>
  <c r="M86" i="4" s="1"/>
  <c r="L87" i="4"/>
  <c r="M87" i="4" s="1"/>
  <c r="N87" i="4" s="1"/>
  <c r="O87" i="4" s="1"/>
  <c r="L88" i="4"/>
  <c r="M88" i="4" s="1"/>
  <c r="L89" i="4"/>
  <c r="M89" i="4" s="1"/>
  <c r="L90" i="4"/>
  <c r="M90" i="4" s="1"/>
  <c r="N90" i="4" s="1"/>
  <c r="O90" i="4" s="1"/>
  <c r="L91" i="4"/>
  <c r="M91" i="4" s="1"/>
  <c r="L92" i="4"/>
  <c r="M92" i="4" s="1"/>
  <c r="N92" i="4" s="1"/>
  <c r="O92" i="4" s="1"/>
  <c r="L93" i="4"/>
  <c r="M93" i="4" s="1"/>
  <c r="L94" i="4"/>
  <c r="M94" i="4" s="1"/>
  <c r="L95" i="4"/>
  <c r="M95" i="4" s="1"/>
  <c r="N95" i="4" s="1"/>
  <c r="O95" i="4" s="1"/>
  <c r="L96" i="4"/>
  <c r="M96" i="4" s="1"/>
  <c r="L97" i="4"/>
  <c r="M97" i="4" s="1"/>
  <c r="L98" i="4"/>
  <c r="M98" i="4" s="1"/>
  <c r="N98" i="4" s="1"/>
  <c r="O98" i="4" s="1"/>
  <c r="L99" i="4"/>
  <c r="M99" i="4" s="1"/>
  <c r="L100" i="4"/>
  <c r="M100" i="4" s="1"/>
  <c r="N100" i="4" s="1"/>
  <c r="O100" i="4" s="1"/>
  <c r="L101" i="4"/>
  <c r="M101" i="4" s="1"/>
  <c r="L102" i="4"/>
  <c r="M102" i="4" s="1"/>
  <c r="L103" i="4"/>
  <c r="M103" i="4" s="1"/>
  <c r="N103" i="4" s="1"/>
  <c r="O103" i="4" s="1"/>
  <c r="L104" i="4"/>
  <c r="M104" i="4" s="1"/>
  <c r="L105" i="4"/>
  <c r="M105" i="4" s="1"/>
  <c r="L106" i="4"/>
  <c r="M106" i="4" s="1"/>
  <c r="N106" i="4" s="1"/>
  <c r="O106" i="4" s="1"/>
  <c r="L107" i="4"/>
  <c r="M107" i="4" s="1"/>
  <c r="L58" i="4"/>
  <c r="M58" i="4" s="1"/>
  <c r="L59" i="4"/>
  <c r="M59" i="4" s="1"/>
  <c r="G61" i="4"/>
  <c r="H61" i="4"/>
  <c r="I61" i="4" s="1"/>
  <c r="J61" i="4" s="1"/>
  <c r="G62" i="4"/>
  <c r="H62" i="4" s="1"/>
  <c r="G63" i="4"/>
  <c r="H63" i="4"/>
  <c r="I63" i="4" s="1"/>
  <c r="J63" i="4" s="1"/>
  <c r="G64" i="4"/>
  <c r="H64" i="4" s="1"/>
  <c r="I64" i="4" s="1"/>
  <c r="J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/>
  <c r="G72" i="4"/>
  <c r="H72" i="4" s="1"/>
  <c r="I72" i="4" s="1"/>
  <c r="J72" i="4" s="1"/>
  <c r="G73" i="4"/>
  <c r="H73" i="4" s="1"/>
  <c r="G74" i="4"/>
  <c r="H74" i="4" s="1"/>
  <c r="G75" i="4"/>
  <c r="H75" i="4"/>
  <c r="G76" i="4"/>
  <c r="H76" i="4" s="1"/>
  <c r="G77" i="4"/>
  <c r="H77" i="4"/>
  <c r="I77" i="4" s="1"/>
  <c r="J77" i="4" s="1"/>
  <c r="G78" i="4"/>
  <c r="H78" i="4" s="1"/>
  <c r="G79" i="4"/>
  <c r="H79" i="4"/>
  <c r="I79" i="4" s="1"/>
  <c r="J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/>
  <c r="G88" i="4"/>
  <c r="H88" i="4" s="1"/>
  <c r="I88" i="4" s="1"/>
  <c r="J88" i="4" s="1"/>
  <c r="G89" i="4"/>
  <c r="H89" i="4" s="1"/>
  <c r="G90" i="4"/>
  <c r="H90" i="4" s="1"/>
  <c r="G91" i="4"/>
  <c r="H91" i="4"/>
  <c r="G92" i="4"/>
  <c r="H92" i="4" s="1"/>
  <c r="G93" i="4"/>
  <c r="H93" i="4"/>
  <c r="I93" i="4" s="1"/>
  <c r="J93" i="4" s="1"/>
  <c r="G94" i="4"/>
  <c r="H94" i="4" s="1"/>
  <c r="G95" i="4"/>
  <c r="H95" i="4"/>
  <c r="I95" i="4" s="1"/>
  <c r="J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/>
  <c r="G104" i="4"/>
  <c r="H104" i="4" s="1"/>
  <c r="I104" i="4" s="1"/>
  <c r="J104" i="4" s="1"/>
  <c r="G105" i="4"/>
  <c r="H105" i="4" s="1"/>
  <c r="G106" i="4"/>
  <c r="H106" i="4" s="1"/>
  <c r="G60" i="4"/>
  <c r="H60" i="4"/>
  <c r="I60" i="4" s="1"/>
  <c r="J60" i="4" s="1"/>
  <c r="H11" i="4"/>
  <c r="J30" i="4" s="1"/>
  <c r="I36" i="4"/>
  <c r="L61" i="4"/>
  <c r="M61" i="4" s="1"/>
  <c r="L60" i="4"/>
  <c r="M60" i="4" s="1"/>
  <c r="G59" i="4"/>
  <c r="H59" i="4" s="1"/>
  <c r="G58" i="4"/>
  <c r="H58" i="4" s="1"/>
  <c r="I58" i="4" s="1"/>
  <c r="J58" i="4" s="1"/>
  <c r="I35" i="4"/>
  <c r="B87" i="4"/>
  <c r="C87" i="4" s="1"/>
  <c r="B88" i="4"/>
  <c r="C88" i="4" s="1"/>
  <c r="B89" i="4"/>
  <c r="C89" i="4" s="1"/>
  <c r="B90" i="4"/>
  <c r="C90" i="4" s="1"/>
  <c r="D91" i="4" s="1"/>
  <c r="E91" i="4" s="1"/>
  <c r="B75" i="4"/>
  <c r="C75" i="4" s="1"/>
  <c r="D75" i="4" s="1"/>
  <c r="E75" i="4" s="1"/>
  <c r="B76" i="4"/>
  <c r="C76" i="4" s="1"/>
  <c r="B77" i="4"/>
  <c r="C77" i="4" s="1"/>
  <c r="D77" i="4" s="1"/>
  <c r="E77" i="4" s="1"/>
  <c r="B78" i="4"/>
  <c r="C78" i="4" s="1"/>
  <c r="B79" i="4"/>
  <c r="C79" i="4" s="1"/>
  <c r="B80" i="4"/>
  <c r="C80" i="4" s="1"/>
  <c r="D80" i="4" s="1"/>
  <c r="E80" i="4" s="1"/>
  <c r="B81" i="4"/>
  <c r="C81" i="4" s="1"/>
  <c r="B82" i="4"/>
  <c r="C82" i="4" s="1"/>
  <c r="D82" i="4" s="1"/>
  <c r="E82" i="4" s="1"/>
  <c r="B83" i="4"/>
  <c r="C83" i="4" s="1"/>
  <c r="B84" i="4"/>
  <c r="C84" i="4" s="1"/>
  <c r="B85" i="4"/>
  <c r="C85" i="4" s="1"/>
  <c r="D85" i="4" s="1"/>
  <c r="E85" i="4" s="1"/>
  <c r="B86" i="4"/>
  <c r="C86" i="4" s="1"/>
  <c r="B74" i="4"/>
  <c r="C74" i="4" s="1"/>
  <c r="B73" i="4"/>
  <c r="C73" i="4" s="1"/>
  <c r="B72" i="4"/>
  <c r="C72" i="4" s="1"/>
  <c r="D72" i="4" s="1"/>
  <c r="E72" i="4" s="1"/>
  <c r="I34" i="4"/>
  <c r="B61" i="4"/>
  <c r="C61" i="4" s="1"/>
  <c r="B62" i="4"/>
  <c r="C62" i="4" s="1"/>
  <c r="D62" i="4" s="1"/>
  <c r="E62" i="4" s="1"/>
  <c r="B63" i="4"/>
  <c r="C63" i="4" s="1"/>
  <c r="B64" i="4"/>
  <c r="C64" i="4" s="1"/>
  <c r="D64" i="4" s="1"/>
  <c r="E64" i="4" s="1"/>
  <c r="B65" i="4"/>
  <c r="C65" i="4" s="1"/>
  <c r="D65" i="4" s="1"/>
  <c r="E65" i="4" s="1"/>
  <c r="B66" i="4"/>
  <c r="C66" i="4" s="1"/>
  <c r="B59" i="4"/>
  <c r="C59" i="4" s="1"/>
  <c r="B60" i="4"/>
  <c r="C60" i="4" s="1"/>
  <c r="B58" i="4"/>
  <c r="C58" i="4" s="1"/>
  <c r="Q6" i="4"/>
  <c r="R6" i="4"/>
  <c r="S6" i="4" s="1"/>
  <c r="T6" i="4" s="1"/>
  <c r="Q7" i="4"/>
  <c r="R7" i="4" s="1"/>
  <c r="S7" i="4" s="1"/>
  <c r="T7" i="4" s="1"/>
  <c r="Q8" i="4"/>
  <c r="R8" i="4"/>
  <c r="Q9" i="4"/>
  <c r="R9" i="4" s="1"/>
  <c r="S9" i="4" s="1"/>
  <c r="T9" i="4" s="1"/>
  <c r="Q10" i="4"/>
  <c r="R10" i="4"/>
  <c r="S10" i="4" s="1"/>
  <c r="T10" i="4" s="1"/>
  <c r="Q11" i="4"/>
  <c r="R11" i="4" s="1"/>
  <c r="S11" i="4" s="1"/>
  <c r="T11" i="4" s="1"/>
  <c r="Q12" i="4"/>
  <c r="R12" i="4"/>
  <c r="S12" i="4" s="1"/>
  <c r="T12" i="4" s="1"/>
  <c r="Q13" i="4"/>
  <c r="R13" i="4" s="1"/>
  <c r="S13" i="4" s="1"/>
  <c r="T13" i="4" s="1"/>
  <c r="Q14" i="4"/>
  <c r="R14" i="4"/>
  <c r="Q15" i="4"/>
  <c r="R15" i="4" s="1"/>
  <c r="S15" i="4" s="1"/>
  <c r="T15" i="4" s="1"/>
  <c r="Q16" i="4"/>
  <c r="R16" i="4"/>
  <c r="Q17" i="4"/>
  <c r="R17" i="4" s="1"/>
  <c r="S17" i="4" s="1"/>
  <c r="T17" i="4" s="1"/>
  <c r="Q18" i="4"/>
  <c r="R18" i="4"/>
  <c r="Q19" i="4"/>
  <c r="R19" i="4" s="1"/>
  <c r="S19" i="4" s="1"/>
  <c r="T19" i="4" s="1"/>
  <c r="Q20" i="4"/>
  <c r="R20" i="4"/>
  <c r="S20" i="4" s="1"/>
  <c r="T20" i="4" s="1"/>
  <c r="Q21" i="4"/>
  <c r="R21" i="4" s="1"/>
  <c r="S21" i="4" s="1"/>
  <c r="T21" i="4" s="1"/>
  <c r="Q22" i="4"/>
  <c r="R22" i="4"/>
  <c r="Q23" i="4"/>
  <c r="R23" i="4" s="1"/>
  <c r="S23" i="4" s="1"/>
  <c r="T23" i="4" s="1"/>
  <c r="Q24" i="4"/>
  <c r="R24" i="4"/>
  <c r="Q25" i="4"/>
  <c r="R25" i="4" s="1"/>
  <c r="S25" i="4" s="1"/>
  <c r="T25" i="4" s="1"/>
  <c r="Q26" i="4"/>
  <c r="R26" i="4"/>
  <c r="S26" i="4" s="1"/>
  <c r="T26" i="4" s="1"/>
  <c r="Q27" i="4"/>
  <c r="R27" i="4" s="1"/>
  <c r="S27" i="4" s="1"/>
  <c r="T27" i="4" s="1"/>
  <c r="Q28" i="4"/>
  <c r="R28" i="4"/>
  <c r="S28" i="4" s="1"/>
  <c r="T28" i="4" s="1"/>
  <c r="Q29" i="4"/>
  <c r="R29" i="4" s="1"/>
  <c r="S29" i="4" s="1"/>
  <c r="T29" i="4" s="1"/>
  <c r="Q30" i="4"/>
  <c r="R30" i="4"/>
  <c r="Q31" i="4"/>
  <c r="R31" i="4" s="1"/>
  <c r="S31" i="4" s="1"/>
  <c r="T31" i="4" s="1"/>
  <c r="Q32" i="4"/>
  <c r="R32" i="4"/>
  <c r="Q33" i="4"/>
  <c r="R33" i="4" s="1"/>
  <c r="S33" i="4" s="1"/>
  <c r="T33" i="4" s="1"/>
  <c r="Q34" i="4"/>
  <c r="R34" i="4"/>
  <c r="S34" i="4" s="1"/>
  <c r="T34" i="4" s="1"/>
  <c r="Q35" i="4"/>
  <c r="R35" i="4" s="1"/>
  <c r="S35" i="4" s="1"/>
  <c r="T35" i="4" s="1"/>
  <c r="Q36" i="4"/>
  <c r="R36" i="4"/>
  <c r="S36" i="4" s="1"/>
  <c r="T36" i="4" s="1"/>
  <c r="Q37" i="4"/>
  <c r="R37" i="4" s="1"/>
  <c r="S37" i="4" s="1"/>
  <c r="T37" i="4" s="1"/>
  <c r="Q38" i="4"/>
  <c r="R38" i="4"/>
  <c r="Q39" i="4"/>
  <c r="R39" i="4" s="1"/>
  <c r="S39" i="4" s="1"/>
  <c r="T39" i="4" s="1"/>
  <c r="Q40" i="4"/>
  <c r="R40" i="4"/>
  <c r="Q41" i="4"/>
  <c r="R41" i="4" s="1"/>
  <c r="S41" i="4" s="1"/>
  <c r="T41" i="4" s="1"/>
  <c r="Q42" i="4"/>
  <c r="R42" i="4"/>
  <c r="S42" i="4" s="1"/>
  <c r="T42" i="4" s="1"/>
  <c r="Q43" i="4"/>
  <c r="R43" i="4" s="1"/>
  <c r="S43" i="4" s="1"/>
  <c r="T43" i="4" s="1"/>
  <c r="Q44" i="4"/>
  <c r="R44" i="4"/>
  <c r="S44" i="4" s="1"/>
  <c r="T44" i="4" s="1"/>
  <c r="Q45" i="4"/>
  <c r="R45" i="4" s="1"/>
  <c r="S45" i="4" s="1"/>
  <c r="T45" i="4" s="1"/>
  <c r="Q46" i="4"/>
  <c r="R46" i="4"/>
  <c r="Q47" i="4"/>
  <c r="R47" i="4" s="1"/>
  <c r="S47" i="4" s="1"/>
  <c r="T47" i="4" s="1"/>
  <c r="Q48" i="4"/>
  <c r="R48" i="4"/>
  <c r="Q49" i="4"/>
  <c r="R49" i="4" s="1"/>
  <c r="S49" i="4" s="1"/>
  <c r="T49" i="4" s="1"/>
  <c r="Q50" i="4"/>
  <c r="R50" i="4"/>
  <c r="S50" i="4" s="1"/>
  <c r="T50" i="4" s="1"/>
  <c r="Q51" i="4"/>
  <c r="R51" i="4" s="1"/>
  <c r="S51" i="4" s="1"/>
  <c r="T51" i="4" s="1"/>
  <c r="Q52" i="4"/>
  <c r="R52" i="4"/>
  <c r="S52" i="4" s="1"/>
  <c r="T52" i="4" s="1"/>
  <c r="Q5" i="4"/>
  <c r="R5" i="4" s="1"/>
  <c r="S4" i="4"/>
  <c r="R4" i="4"/>
  <c r="Q4" i="4"/>
  <c r="N4" i="4"/>
  <c r="L8" i="4"/>
  <c r="M8" i="4" s="1"/>
  <c r="L9" i="4"/>
  <c r="M9" i="4" s="1"/>
  <c r="L10" i="4"/>
  <c r="M10" i="4" s="1"/>
  <c r="N10" i="4" s="1"/>
  <c r="O10" i="4" s="1"/>
  <c r="L11" i="4"/>
  <c r="M11" i="4" s="1"/>
  <c r="N11" i="4" s="1"/>
  <c r="O11" i="4" s="1"/>
  <c r="L12" i="4"/>
  <c r="M12" i="4" s="1"/>
  <c r="L13" i="4"/>
  <c r="M13" i="4" s="1"/>
  <c r="L14" i="4"/>
  <c r="M14" i="4" s="1"/>
  <c r="N14" i="4" s="1"/>
  <c r="O14" i="4" s="1"/>
  <c r="L15" i="4"/>
  <c r="M15" i="4" s="1"/>
  <c r="N15" i="4" s="1"/>
  <c r="O15" i="4" s="1"/>
  <c r="L16" i="4"/>
  <c r="M16" i="4" s="1"/>
  <c r="L17" i="4"/>
  <c r="M17" i="4" s="1"/>
  <c r="L18" i="4"/>
  <c r="M18" i="4" s="1"/>
  <c r="N18" i="4" s="1"/>
  <c r="O18" i="4" s="1"/>
  <c r="L19" i="4"/>
  <c r="M19" i="4" s="1"/>
  <c r="L20" i="4"/>
  <c r="M20" i="4" s="1"/>
  <c r="L21" i="4"/>
  <c r="M21" i="4" s="1"/>
  <c r="L22" i="4"/>
  <c r="M22" i="4" s="1"/>
  <c r="N22" i="4" s="1"/>
  <c r="O22" i="4" s="1"/>
  <c r="L23" i="4"/>
  <c r="M23" i="4" s="1"/>
  <c r="N23" i="4" s="1"/>
  <c r="O23" i="4" s="1"/>
  <c r="L24" i="4"/>
  <c r="M24" i="4" s="1"/>
  <c r="L25" i="4"/>
  <c r="M25" i="4" s="1"/>
  <c r="L26" i="4"/>
  <c r="M26" i="4" s="1"/>
  <c r="N26" i="4" s="1"/>
  <c r="O26" i="4" s="1"/>
  <c r="L27" i="4"/>
  <c r="M27" i="4" s="1"/>
  <c r="L28" i="4"/>
  <c r="M28" i="4" s="1"/>
  <c r="L29" i="4"/>
  <c r="M29" i="4" s="1"/>
  <c r="L30" i="4"/>
  <c r="M30" i="4" s="1"/>
  <c r="N30" i="4" s="1"/>
  <c r="O30" i="4" s="1"/>
  <c r="L31" i="4"/>
  <c r="M31" i="4" s="1"/>
  <c r="N31" i="4" s="1"/>
  <c r="O31" i="4" s="1"/>
  <c r="L32" i="4"/>
  <c r="M32" i="4" s="1"/>
  <c r="L33" i="4"/>
  <c r="M33" i="4" s="1"/>
  <c r="L34" i="4"/>
  <c r="M34" i="4" s="1"/>
  <c r="N34" i="4" s="1"/>
  <c r="O34" i="4" s="1"/>
  <c r="L35" i="4"/>
  <c r="M35" i="4" s="1"/>
  <c r="L36" i="4"/>
  <c r="M36" i="4" s="1"/>
  <c r="L37" i="4"/>
  <c r="M37" i="4" s="1"/>
  <c r="L38" i="4"/>
  <c r="M38" i="4" s="1"/>
  <c r="N38" i="4" s="1"/>
  <c r="O38" i="4" s="1"/>
  <c r="L39" i="4"/>
  <c r="M39" i="4" s="1"/>
  <c r="N39" i="4" s="1"/>
  <c r="O39" i="4" s="1"/>
  <c r="L40" i="4"/>
  <c r="M40" i="4" s="1"/>
  <c r="L41" i="4"/>
  <c r="M41" i="4" s="1"/>
  <c r="L42" i="4"/>
  <c r="M42" i="4" s="1"/>
  <c r="N42" i="4" s="1"/>
  <c r="O42" i="4" s="1"/>
  <c r="L43" i="4"/>
  <c r="M43" i="4" s="1"/>
  <c r="L44" i="4"/>
  <c r="M44" i="4" s="1"/>
  <c r="L45" i="4"/>
  <c r="M45" i="4" s="1"/>
  <c r="L46" i="4"/>
  <c r="M46" i="4" s="1"/>
  <c r="N46" i="4" s="1"/>
  <c r="O46" i="4" s="1"/>
  <c r="L47" i="4"/>
  <c r="M47" i="4" s="1"/>
  <c r="N47" i="4" s="1"/>
  <c r="O47" i="4" s="1"/>
  <c r="L48" i="4"/>
  <c r="M48" i="4" s="1"/>
  <c r="L49" i="4"/>
  <c r="M49" i="4" s="1"/>
  <c r="L50" i="4"/>
  <c r="M50" i="4" s="1"/>
  <c r="N50" i="4" s="1"/>
  <c r="O50" i="4" s="1"/>
  <c r="L51" i="4"/>
  <c r="M51" i="4" s="1"/>
  <c r="L52" i="4"/>
  <c r="M52" i="4" s="1"/>
  <c r="L53" i="4"/>
  <c r="M53" i="4" s="1"/>
  <c r="N53" i="4" s="1"/>
  <c r="O53" i="4" s="1"/>
  <c r="L5" i="4"/>
  <c r="M5" i="4" s="1"/>
  <c r="L6" i="4"/>
  <c r="M6" i="4" s="1"/>
  <c r="L7" i="4"/>
  <c r="M7" i="4" s="1"/>
  <c r="H20" i="4"/>
  <c r="H19" i="4" s="1"/>
  <c r="H17" i="4"/>
  <c r="C23" i="4" s="1"/>
  <c r="M4" i="4"/>
  <c r="L4" i="4"/>
  <c r="H4" i="3"/>
  <c r="C30" i="3"/>
  <c r="E30" i="3"/>
  <c r="K2" i="3"/>
  <c r="K3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C32" i="3"/>
  <c r="E32" i="3"/>
  <c r="C34" i="3"/>
  <c r="E34" i="3"/>
  <c r="C36" i="3"/>
  <c r="E36" i="3"/>
  <c r="C38" i="3"/>
  <c r="E38" i="3"/>
  <c r="I19" i="4"/>
  <c r="D23" i="4"/>
  <c r="I17" i="4"/>
  <c r="I18" i="4"/>
  <c r="D17" i="4"/>
  <c r="D22" i="4"/>
  <c r="D21" i="4"/>
  <c r="D20" i="4"/>
  <c r="I20" i="4"/>
  <c r="S118" i="4" l="1"/>
  <c r="T118" i="4" s="1"/>
  <c r="S122" i="4"/>
  <c r="T122" i="4" s="1"/>
  <c r="S115" i="4"/>
  <c r="T115" i="4" s="1"/>
  <c r="N117" i="4"/>
  <c r="O117" i="4" s="1"/>
  <c r="N120" i="4"/>
  <c r="O120" i="4" s="1"/>
  <c r="S113" i="4"/>
  <c r="T113" i="4" s="1"/>
  <c r="S121" i="4"/>
  <c r="T121" i="4" s="1"/>
  <c r="S125" i="4"/>
  <c r="T125" i="4" s="1"/>
  <c r="N114" i="4"/>
  <c r="O114" i="4" s="1"/>
  <c r="N118" i="4"/>
  <c r="O118" i="4" s="1"/>
  <c r="N122" i="4"/>
  <c r="O122" i="4" s="1"/>
  <c r="N126" i="4"/>
  <c r="O126" i="4" s="1"/>
  <c r="N130" i="4"/>
  <c r="O130" i="4" s="1"/>
  <c r="N134" i="4"/>
  <c r="O134" i="4" s="1"/>
  <c r="N138" i="4"/>
  <c r="O138" i="4" s="1"/>
  <c r="N142" i="4"/>
  <c r="O142" i="4" s="1"/>
  <c r="N146" i="4"/>
  <c r="O146" i="4" s="1"/>
  <c r="N150" i="4"/>
  <c r="O150" i="4" s="1"/>
  <c r="N154" i="4"/>
  <c r="O154" i="4" s="1"/>
  <c r="N158" i="4"/>
  <c r="O158" i="4" s="1"/>
  <c r="S73" i="4"/>
  <c r="T73" i="4" s="1"/>
  <c r="N62" i="4"/>
  <c r="O62" i="4" s="1"/>
  <c r="S65" i="4"/>
  <c r="T65" i="4" s="1"/>
  <c r="S97" i="4"/>
  <c r="T97" i="4" s="1"/>
  <c r="S105" i="4"/>
  <c r="T105" i="4" s="1"/>
  <c r="S89" i="4"/>
  <c r="T89" i="4" s="1"/>
  <c r="D66" i="4"/>
  <c r="E66" i="4" s="1"/>
  <c r="D81" i="4"/>
  <c r="E81" i="4" s="1"/>
  <c r="D89" i="4"/>
  <c r="E89" i="4" s="1"/>
  <c r="I94" i="4"/>
  <c r="J94" i="4" s="1"/>
  <c r="I78" i="4"/>
  <c r="J78" i="4" s="1"/>
  <c r="I62" i="4"/>
  <c r="J62" i="4" s="1"/>
  <c r="D87" i="4"/>
  <c r="E87" i="4" s="1"/>
  <c r="I98" i="4"/>
  <c r="J98" i="4" s="1"/>
  <c r="I82" i="4"/>
  <c r="J82" i="4" s="1"/>
  <c r="I66" i="4"/>
  <c r="J66" i="4" s="1"/>
  <c r="D86" i="4"/>
  <c r="E86" i="4" s="1"/>
  <c r="D78" i="4"/>
  <c r="E78" i="4" s="1"/>
  <c r="I92" i="4"/>
  <c r="J92" i="4" s="1"/>
  <c r="I76" i="4"/>
  <c r="J76" i="4" s="1"/>
  <c r="I102" i="4"/>
  <c r="J102" i="4" s="1"/>
  <c r="I86" i="4"/>
  <c r="J86" i="4" s="1"/>
  <c r="I70" i="4"/>
  <c r="J70" i="4" s="1"/>
  <c r="D61" i="4"/>
  <c r="E61" i="4" s="1"/>
  <c r="D84" i="4"/>
  <c r="E84" i="4" s="1"/>
  <c r="D76" i="4"/>
  <c r="E76" i="4" s="1"/>
  <c r="I96" i="4"/>
  <c r="J96" i="4" s="1"/>
  <c r="I80" i="4"/>
  <c r="J80" i="4" s="1"/>
  <c r="I106" i="4"/>
  <c r="J106" i="4" s="1"/>
  <c r="I90" i="4"/>
  <c r="J90" i="4" s="1"/>
  <c r="I74" i="4"/>
  <c r="J74" i="4" s="1"/>
  <c r="D67" i="4"/>
  <c r="E67" i="4" s="1"/>
  <c r="I100" i="4"/>
  <c r="J100" i="4" s="1"/>
  <c r="I84" i="4"/>
  <c r="J84" i="4" s="1"/>
  <c r="I68" i="4"/>
  <c r="J68" i="4" s="1"/>
  <c r="S101" i="4"/>
  <c r="T101" i="4" s="1"/>
  <c r="S93" i="4"/>
  <c r="T93" i="4" s="1"/>
  <c r="S85" i="4"/>
  <c r="T85" i="4" s="1"/>
  <c r="S77" i="4"/>
  <c r="T77" i="4" s="1"/>
  <c r="S69" i="4"/>
  <c r="T69" i="4" s="1"/>
  <c r="S99" i="4"/>
  <c r="T99" i="4" s="1"/>
  <c r="S91" i="4"/>
  <c r="T91" i="4" s="1"/>
  <c r="S83" i="4"/>
  <c r="T83" i="4" s="1"/>
  <c r="S75" i="4"/>
  <c r="T75" i="4" s="1"/>
  <c r="S67" i="4"/>
  <c r="T67" i="4" s="1"/>
  <c r="S107" i="4"/>
  <c r="T107" i="4" s="1"/>
  <c r="N112" i="4"/>
  <c r="O112" i="4" s="1"/>
  <c r="S102" i="4"/>
  <c r="T102" i="4" s="1"/>
  <c r="S94" i="4"/>
  <c r="T94" i="4" s="1"/>
  <c r="S86" i="4"/>
  <c r="T86" i="4" s="1"/>
  <c r="S78" i="4"/>
  <c r="T78" i="4" s="1"/>
  <c r="S70" i="4"/>
  <c r="T70" i="4" s="1"/>
  <c r="S62" i="4"/>
  <c r="T62" i="4" s="1"/>
  <c r="N71" i="4"/>
  <c r="O71" i="4" s="1"/>
  <c r="N61" i="4"/>
  <c r="N60" i="4"/>
  <c r="N59" i="4"/>
  <c r="O59" i="4" s="1"/>
  <c r="N123" i="4"/>
  <c r="O123" i="4" s="1"/>
  <c r="S126" i="4"/>
  <c r="T126" i="4" s="1"/>
  <c r="S130" i="4"/>
  <c r="T130" i="4" s="1"/>
  <c r="S134" i="4"/>
  <c r="T134" i="4" s="1"/>
  <c r="S138" i="4"/>
  <c r="T138" i="4" s="1"/>
  <c r="S142" i="4"/>
  <c r="T142" i="4" s="1"/>
  <c r="S146" i="4"/>
  <c r="T146" i="4" s="1"/>
  <c r="S150" i="4"/>
  <c r="T150" i="4" s="1"/>
  <c r="S154" i="4"/>
  <c r="T154" i="4" s="1"/>
  <c r="S158" i="4"/>
  <c r="T158" i="4" s="1"/>
  <c r="S123" i="4"/>
  <c r="T123" i="4" s="1"/>
  <c r="N113" i="4"/>
  <c r="O113" i="4" s="1"/>
  <c r="N125" i="4"/>
  <c r="O125" i="4" s="1"/>
  <c r="S117" i="4"/>
  <c r="T117" i="4" s="1"/>
  <c r="S120" i="4"/>
  <c r="T120" i="4" s="1"/>
  <c r="S114" i="4"/>
  <c r="T114" i="4" s="1"/>
  <c r="S129" i="4"/>
  <c r="T129" i="4" s="1"/>
  <c r="S133" i="4"/>
  <c r="T133" i="4" s="1"/>
  <c r="S137" i="4"/>
  <c r="T137" i="4" s="1"/>
  <c r="S141" i="4"/>
  <c r="T141" i="4" s="1"/>
  <c r="S145" i="4"/>
  <c r="T145" i="4" s="1"/>
  <c r="S149" i="4"/>
  <c r="T149" i="4" s="1"/>
  <c r="S153" i="4"/>
  <c r="T153" i="4" s="1"/>
  <c r="S157" i="4"/>
  <c r="T157" i="4" s="1"/>
  <c r="N116" i="4"/>
  <c r="O116" i="4" s="1"/>
  <c r="N124" i="4"/>
  <c r="O124" i="4" s="1"/>
  <c r="N127" i="4"/>
  <c r="O127" i="4" s="1"/>
  <c r="N131" i="4"/>
  <c r="O131" i="4" s="1"/>
  <c r="N135" i="4"/>
  <c r="O135" i="4" s="1"/>
  <c r="N139" i="4"/>
  <c r="O139" i="4" s="1"/>
  <c r="N143" i="4"/>
  <c r="O143" i="4" s="1"/>
  <c r="N147" i="4"/>
  <c r="O147" i="4" s="1"/>
  <c r="N151" i="4"/>
  <c r="O151" i="4" s="1"/>
  <c r="N155" i="4"/>
  <c r="O155" i="4" s="1"/>
  <c r="N159" i="4"/>
  <c r="O159" i="4" s="1"/>
  <c r="S116" i="4"/>
  <c r="T116" i="4" s="1"/>
  <c r="S124" i="4"/>
  <c r="T124" i="4" s="1"/>
  <c r="S127" i="4"/>
  <c r="T127" i="4" s="1"/>
  <c r="S131" i="4"/>
  <c r="T131" i="4" s="1"/>
  <c r="S135" i="4"/>
  <c r="T135" i="4" s="1"/>
  <c r="S139" i="4"/>
  <c r="T139" i="4" s="1"/>
  <c r="S143" i="4"/>
  <c r="T143" i="4" s="1"/>
  <c r="S147" i="4"/>
  <c r="T147" i="4" s="1"/>
  <c r="S151" i="4"/>
  <c r="T151" i="4" s="1"/>
  <c r="S155" i="4"/>
  <c r="T155" i="4" s="1"/>
  <c r="S159" i="4"/>
  <c r="T159" i="4" s="1"/>
  <c r="S119" i="4"/>
  <c r="T119" i="4" s="1"/>
  <c r="N128" i="4"/>
  <c r="O128" i="4" s="1"/>
  <c r="N132" i="4"/>
  <c r="O132" i="4" s="1"/>
  <c r="N136" i="4"/>
  <c r="O136" i="4" s="1"/>
  <c r="N140" i="4"/>
  <c r="O140" i="4" s="1"/>
  <c r="N144" i="4"/>
  <c r="O144" i="4" s="1"/>
  <c r="N148" i="4"/>
  <c r="O148" i="4" s="1"/>
  <c r="N152" i="4"/>
  <c r="O152" i="4" s="1"/>
  <c r="N156" i="4"/>
  <c r="O156" i="4" s="1"/>
  <c r="N160" i="4"/>
  <c r="O160" i="4" s="1"/>
  <c r="S160" i="4"/>
  <c r="T160" i="4" s="1"/>
  <c r="S161" i="4"/>
  <c r="T161" i="4" s="1"/>
  <c r="S100" i="4"/>
  <c r="T100" i="4" s="1"/>
  <c r="S92" i="4"/>
  <c r="T92" i="4" s="1"/>
  <c r="S84" i="4"/>
  <c r="T84" i="4" s="1"/>
  <c r="S76" i="4"/>
  <c r="T76" i="4" s="1"/>
  <c r="S68" i="4"/>
  <c r="T68" i="4" s="1"/>
  <c r="S106" i="4"/>
  <c r="T106" i="4" s="1"/>
  <c r="S98" i="4"/>
  <c r="T98" i="4" s="1"/>
  <c r="S90" i="4"/>
  <c r="T90" i="4" s="1"/>
  <c r="S82" i="4"/>
  <c r="T82" i="4" s="1"/>
  <c r="S74" i="4"/>
  <c r="T74" i="4" s="1"/>
  <c r="S66" i="4"/>
  <c r="T66" i="4" s="1"/>
  <c r="S103" i="4"/>
  <c r="T103" i="4" s="1"/>
  <c r="S95" i="4"/>
  <c r="T95" i="4" s="1"/>
  <c r="S87" i="4"/>
  <c r="T87" i="4" s="1"/>
  <c r="S79" i="4"/>
  <c r="T79" i="4" s="1"/>
  <c r="S71" i="4"/>
  <c r="T71" i="4" s="1"/>
  <c r="S63" i="4"/>
  <c r="T63" i="4" s="1"/>
  <c r="S59" i="4"/>
  <c r="T59" i="4" s="1"/>
  <c r="S60" i="4"/>
  <c r="T60" i="4" s="1"/>
  <c r="S61" i="4"/>
  <c r="T61" i="4" s="1"/>
  <c r="N101" i="4"/>
  <c r="O101" i="4" s="1"/>
  <c r="N93" i="4"/>
  <c r="O93" i="4" s="1"/>
  <c r="N85" i="4"/>
  <c r="O85" i="4" s="1"/>
  <c r="N77" i="4"/>
  <c r="O77" i="4" s="1"/>
  <c r="N69" i="4"/>
  <c r="O69" i="4" s="1"/>
  <c r="N107" i="4"/>
  <c r="O107" i="4" s="1"/>
  <c r="T58" i="4" s="1"/>
  <c r="N99" i="4"/>
  <c r="O99" i="4" s="1"/>
  <c r="N91" i="4"/>
  <c r="O91" i="4" s="1"/>
  <c r="N83" i="4"/>
  <c r="O83" i="4" s="1"/>
  <c r="N75" i="4"/>
  <c r="O75" i="4" s="1"/>
  <c r="N67" i="4"/>
  <c r="O67" i="4" s="1"/>
  <c r="N105" i="4"/>
  <c r="O105" i="4" s="1"/>
  <c r="N97" i="4"/>
  <c r="O97" i="4" s="1"/>
  <c r="N89" i="4"/>
  <c r="O89" i="4" s="1"/>
  <c r="N81" i="4"/>
  <c r="O81" i="4" s="1"/>
  <c r="N73" i="4"/>
  <c r="O73" i="4" s="1"/>
  <c r="N65" i="4"/>
  <c r="O65" i="4" s="1"/>
  <c r="N104" i="4"/>
  <c r="O104" i="4" s="1"/>
  <c r="N96" i="4"/>
  <c r="O96" i="4" s="1"/>
  <c r="N88" i="4"/>
  <c r="O88" i="4" s="1"/>
  <c r="N80" i="4"/>
  <c r="O80" i="4" s="1"/>
  <c r="N72" i="4"/>
  <c r="O72" i="4" s="1"/>
  <c r="N64" i="4"/>
  <c r="O64" i="4" s="1"/>
  <c r="N102" i="4"/>
  <c r="O102" i="4" s="1"/>
  <c r="N94" i="4"/>
  <c r="O94" i="4" s="1"/>
  <c r="N86" i="4"/>
  <c r="O86" i="4" s="1"/>
  <c r="N78" i="4"/>
  <c r="O78" i="4" s="1"/>
  <c r="N70" i="4"/>
  <c r="O70" i="4" s="1"/>
  <c r="O58" i="4"/>
  <c r="O61" i="4"/>
  <c r="I103" i="4"/>
  <c r="J103" i="4" s="1"/>
  <c r="I87" i="4"/>
  <c r="J87" i="4" s="1"/>
  <c r="I71" i="4"/>
  <c r="J71" i="4" s="1"/>
  <c r="I97" i="4"/>
  <c r="J97" i="4" s="1"/>
  <c r="I81" i="4"/>
  <c r="J81" i="4" s="1"/>
  <c r="I65" i="4"/>
  <c r="J65" i="4" s="1"/>
  <c r="I107" i="4"/>
  <c r="J107" i="4" s="1"/>
  <c r="I91" i="4"/>
  <c r="J91" i="4" s="1"/>
  <c r="I75" i="4"/>
  <c r="J75" i="4" s="1"/>
  <c r="I101" i="4"/>
  <c r="J101" i="4" s="1"/>
  <c r="I85" i="4"/>
  <c r="J85" i="4" s="1"/>
  <c r="I69" i="4"/>
  <c r="J69" i="4" s="1"/>
  <c r="I105" i="4"/>
  <c r="J105" i="4" s="1"/>
  <c r="I89" i="4"/>
  <c r="J89" i="4" s="1"/>
  <c r="I73" i="4"/>
  <c r="J73" i="4" s="1"/>
  <c r="I99" i="4"/>
  <c r="J99" i="4" s="1"/>
  <c r="I83" i="4"/>
  <c r="J83" i="4" s="1"/>
  <c r="I67" i="4"/>
  <c r="J67" i="4" s="1"/>
  <c r="O60" i="4"/>
  <c r="I59" i="4"/>
  <c r="J59" i="4" s="1"/>
  <c r="J108" i="4" s="1"/>
  <c r="D90" i="4"/>
  <c r="E90" i="4" s="1"/>
  <c r="D88" i="4"/>
  <c r="E88" i="4" s="1"/>
  <c r="D79" i="4"/>
  <c r="E79" i="4" s="1"/>
  <c r="D83" i="4"/>
  <c r="E83" i="4" s="1"/>
  <c r="E92" i="4" s="1"/>
  <c r="D74" i="4"/>
  <c r="E74" i="4" s="1"/>
  <c r="D73" i="4"/>
  <c r="E73" i="4" s="1"/>
  <c r="D63" i="4"/>
  <c r="E63" i="4" s="1"/>
  <c r="D60" i="4"/>
  <c r="E60" i="4" s="1"/>
  <c r="D58" i="4"/>
  <c r="E58" i="4" s="1"/>
  <c r="E68" i="4" s="1"/>
  <c r="D59" i="4"/>
  <c r="E59" i="4" s="1"/>
  <c r="S30" i="4"/>
  <c r="T30" i="4" s="1"/>
  <c r="S14" i="4"/>
  <c r="T14" i="4" s="1"/>
  <c r="S46" i="4"/>
  <c r="T46" i="4" s="1"/>
  <c r="S40" i="4"/>
  <c r="T40" i="4" s="1"/>
  <c r="S24" i="4"/>
  <c r="T24" i="4" s="1"/>
  <c r="S8" i="4"/>
  <c r="T8" i="4" s="1"/>
  <c r="S18" i="4"/>
  <c r="T18" i="4" s="1"/>
  <c r="S38" i="4"/>
  <c r="T38" i="4" s="1"/>
  <c r="S22" i="4"/>
  <c r="T22" i="4" s="1"/>
  <c r="S48" i="4"/>
  <c r="T48" i="4" s="1"/>
  <c r="S32" i="4"/>
  <c r="T32" i="4" s="1"/>
  <c r="S16" i="4"/>
  <c r="T16" i="4" s="1"/>
  <c r="S5" i="4"/>
  <c r="T5" i="4" s="1"/>
  <c r="N5" i="4"/>
  <c r="O5" i="4" s="1"/>
  <c r="N51" i="4"/>
  <c r="O51" i="4" s="1"/>
  <c r="N43" i="4"/>
  <c r="O43" i="4" s="1"/>
  <c r="N35" i="4"/>
  <c r="O35" i="4" s="1"/>
  <c r="N27" i="4"/>
  <c r="O27" i="4" s="1"/>
  <c r="N19" i="4"/>
  <c r="O19" i="4" s="1"/>
  <c r="N7" i="4"/>
  <c r="O7" i="4" s="1"/>
  <c r="N48" i="4"/>
  <c r="O48" i="4" s="1"/>
  <c r="N40" i="4"/>
  <c r="O40" i="4" s="1"/>
  <c r="N32" i="4"/>
  <c r="O32" i="4" s="1"/>
  <c r="N8" i="4"/>
  <c r="O8" i="4" s="1"/>
  <c r="N45" i="4"/>
  <c r="O45" i="4" s="1"/>
  <c r="N37" i="4"/>
  <c r="O37" i="4" s="1"/>
  <c r="N29" i="4"/>
  <c r="O29" i="4" s="1"/>
  <c r="N21" i="4"/>
  <c r="O21" i="4" s="1"/>
  <c r="N13" i="4"/>
  <c r="O13" i="4" s="1"/>
  <c r="N52" i="4"/>
  <c r="O52" i="4" s="1"/>
  <c r="N44" i="4"/>
  <c r="O44" i="4" s="1"/>
  <c r="N36" i="4"/>
  <c r="O36" i="4" s="1"/>
  <c r="N28" i="4"/>
  <c r="O28" i="4" s="1"/>
  <c r="N20" i="4"/>
  <c r="O20" i="4" s="1"/>
  <c r="N12" i="4"/>
  <c r="O12" i="4" s="1"/>
  <c r="N49" i="4"/>
  <c r="O49" i="4" s="1"/>
  <c r="N41" i="4"/>
  <c r="O41" i="4" s="1"/>
  <c r="N33" i="4"/>
  <c r="O33" i="4" s="1"/>
  <c r="N25" i="4"/>
  <c r="O25" i="4" s="1"/>
  <c r="N17" i="4"/>
  <c r="O17" i="4" s="1"/>
  <c r="N9" i="4"/>
  <c r="O9" i="4" s="1"/>
  <c r="N24" i="4"/>
  <c r="O24" i="4" s="1"/>
  <c r="N16" i="4"/>
  <c r="O16" i="4" s="1"/>
  <c r="N6" i="4"/>
  <c r="O6" i="4" s="1"/>
  <c r="C20" i="4"/>
  <c r="C21" i="4" s="1"/>
  <c r="H18" i="4"/>
  <c r="C18" i="4" s="1"/>
  <c r="C17" i="4"/>
  <c r="O4" i="4"/>
  <c r="S53" i="4"/>
  <c r="T53" i="4" s="1"/>
  <c r="T4" i="4"/>
  <c r="K33" i="3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B38" i="4"/>
  <c r="C36" i="4"/>
  <c r="C39" i="4"/>
  <c r="C44" i="4"/>
  <c r="C43" i="4"/>
  <c r="C47" i="4"/>
  <c r="C45" i="4"/>
  <c r="C32" i="4"/>
  <c r="C38" i="4"/>
  <c r="C48" i="4"/>
  <c r="T108" i="4" l="1"/>
  <c r="O162" i="4"/>
  <c r="T162" i="4"/>
  <c r="O108" i="4"/>
  <c r="T54" i="4"/>
  <c r="C22" i="4"/>
  <c r="O54" i="4"/>
  <c r="U93" i="1"/>
  <c r="I1" i="1"/>
  <c r="J1" i="1"/>
  <c r="K1" i="1"/>
  <c r="L1" i="1"/>
  <c r="B43" i="4"/>
  <c r="B44" i="4" s="1"/>
  <c r="B42" i="4"/>
  <c r="B47" i="4"/>
  <c r="B37" i="4"/>
  <c r="B35" i="4"/>
  <c r="B36" i="4" s="1"/>
  <c r="C10" i="4"/>
  <c r="H5" i="4"/>
  <c r="H4" i="4"/>
  <c r="C10" i="3"/>
  <c r="D9" i="4"/>
  <c r="C37" i="4"/>
  <c r="D7" i="4"/>
  <c r="D10" i="4"/>
  <c r="I4" i="4"/>
  <c r="C34" i="4"/>
  <c r="C30" i="4"/>
  <c r="I6" i="4"/>
  <c r="D8" i="4"/>
  <c r="I7" i="4"/>
  <c r="C35" i="4"/>
  <c r="I5" i="4"/>
  <c r="C31" i="4"/>
  <c r="D11" i="4"/>
  <c r="C42" i="4"/>
  <c r="C33" i="4"/>
  <c r="Q108" i="4" l="1"/>
  <c r="T163" i="4"/>
  <c r="Q54" i="4"/>
  <c r="H6" i="4"/>
  <c r="H7" i="4" s="1"/>
  <c r="C27" i="3"/>
  <c r="F55" i="3"/>
  <c r="A53" i="3"/>
  <c r="A54" i="3"/>
  <c r="A55" i="3"/>
  <c r="F52" i="3"/>
  <c r="F53" i="3"/>
  <c r="F54" i="3"/>
  <c r="A52" i="3"/>
  <c r="G52" i="3"/>
  <c r="B55" i="3"/>
  <c r="G55" i="3"/>
  <c r="G54" i="3"/>
  <c r="B53" i="3"/>
  <c r="B52" i="3"/>
  <c r="G53" i="3"/>
  <c r="B54" i="3"/>
  <c r="B34" i="4" l="1"/>
  <c r="B33" i="4"/>
  <c r="C9" i="4"/>
  <c r="C11" i="4"/>
  <c r="C7" i="4"/>
  <c r="C8" i="4" s="1"/>
  <c r="B31" i="4"/>
  <c r="B30" i="4"/>
  <c r="B45" i="4" s="1"/>
  <c r="B48" i="4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7" i="3"/>
  <c r="C37" i="3"/>
  <c r="E35" i="3"/>
  <c r="C35" i="3"/>
  <c r="E33" i="3"/>
  <c r="C33" i="3"/>
  <c r="E31" i="3"/>
  <c r="C31" i="3"/>
  <c r="E29" i="3"/>
  <c r="C29" i="3"/>
  <c r="E28" i="3"/>
  <c r="C28" i="3"/>
  <c r="E27" i="3"/>
  <c r="H5" i="3"/>
  <c r="D7" i="3"/>
  <c r="I19" i="3"/>
  <c r="B153" i="3"/>
  <c r="D9" i="3"/>
  <c r="D8" i="3"/>
  <c r="D23" i="3"/>
  <c r="D21" i="3"/>
  <c r="G152" i="3"/>
  <c r="I7" i="3"/>
  <c r="B152" i="3"/>
  <c r="D10" i="3"/>
  <c r="D22" i="3"/>
  <c r="I18" i="3"/>
  <c r="B151" i="3"/>
  <c r="D17" i="3"/>
  <c r="I20" i="3"/>
  <c r="D20" i="3"/>
  <c r="G153" i="3"/>
  <c r="I5" i="3"/>
  <c r="I6" i="3"/>
  <c r="I4" i="3"/>
  <c r="D11" i="3"/>
  <c r="I17" i="3"/>
  <c r="G151" i="3"/>
  <c r="B32" i="4" l="1"/>
  <c r="B39" i="4"/>
  <c r="H6" i="3"/>
  <c r="C9" i="3" l="1"/>
  <c r="H7" i="3"/>
  <c r="C7" i="3"/>
  <c r="H17" i="3"/>
  <c r="B46" i="1"/>
  <c r="B49" i="1"/>
  <c r="B47" i="1"/>
  <c r="B50" i="1"/>
  <c r="B48" i="1"/>
  <c r="B45" i="1"/>
  <c r="A46" i="1"/>
  <c r="A49" i="1"/>
  <c r="A47" i="1"/>
  <c r="A50" i="1"/>
  <c r="A48" i="1"/>
  <c r="A45" i="1"/>
  <c r="H1" i="1"/>
  <c r="C46" i="1"/>
  <c r="C47" i="1"/>
  <c r="C48" i="1"/>
  <c r="C45" i="1"/>
  <c r="C49" i="1"/>
  <c r="C50" i="1"/>
  <c r="B30" i="3" l="1"/>
  <c r="B32" i="3"/>
  <c r="B34" i="3"/>
  <c r="C17" i="3"/>
  <c r="B132" i="3"/>
  <c r="B38" i="3"/>
  <c r="B36" i="3"/>
  <c r="D147" i="3"/>
  <c r="B74" i="3"/>
  <c r="B117" i="3"/>
  <c r="B106" i="3"/>
  <c r="B47" i="3"/>
  <c r="B107" i="3"/>
  <c r="B72" i="3"/>
  <c r="B43" i="3"/>
  <c r="D141" i="3"/>
  <c r="B108" i="3"/>
  <c r="D133" i="3"/>
  <c r="B99" i="3"/>
  <c r="D99" i="3"/>
  <c r="B102" i="3"/>
  <c r="B92" i="3"/>
  <c r="D91" i="3"/>
  <c r="B142" i="3"/>
  <c r="D102" i="3"/>
  <c r="B69" i="3"/>
  <c r="C8" i="3"/>
  <c r="D59" i="3"/>
  <c r="B138" i="3"/>
  <c r="C138" i="3" s="1"/>
  <c r="B41" i="3"/>
  <c r="D136" i="3"/>
  <c r="D89" i="3"/>
  <c r="B109" i="3"/>
  <c r="D87" i="3"/>
  <c r="D135" i="3"/>
  <c r="D106" i="3"/>
  <c r="D94" i="3"/>
  <c r="D125" i="3"/>
  <c r="B113" i="3"/>
  <c r="D119" i="3"/>
  <c r="D131" i="3"/>
  <c r="B90" i="3"/>
  <c r="D97" i="3"/>
  <c r="D134" i="3"/>
  <c r="D88" i="3"/>
  <c r="B97" i="3"/>
  <c r="B93" i="3"/>
  <c r="D85" i="3"/>
  <c r="D130" i="3"/>
  <c r="D100" i="3"/>
  <c r="D137" i="3"/>
  <c r="D76" i="3"/>
  <c r="D115" i="3"/>
  <c r="D107" i="3"/>
  <c r="D104" i="3"/>
  <c r="B131" i="3"/>
  <c r="D105" i="3"/>
  <c r="D117" i="3"/>
  <c r="D74" i="3"/>
  <c r="D142" i="3"/>
  <c r="D86" i="3"/>
  <c r="D121" i="3"/>
  <c r="B49" i="3"/>
  <c r="B89" i="3"/>
  <c r="B129" i="3"/>
  <c r="B88" i="3"/>
  <c r="B121" i="3"/>
  <c r="C121" i="3" s="1"/>
  <c r="D81" i="3"/>
  <c r="D82" i="3"/>
  <c r="B40" i="3"/>
  <c r="D93" i="3"/>
  <c r="B31" i="3"/>
  <c r="B94" i="3"/>
  <c r="B123" i="3"/>
  <c r="D71" i="3"/>
  <c r="B119" i="3"/>
  <c r="D68" i="3"/>
  <c r="B35" i="3"/>
  <c r="B50" i="3"/>
  <c r="B73" i="3"/>
  <c r="B48" i="3"/>
  <c r="D109" i="3"/>
  <c r="B84" i="3"/>
  <c r="B77" i="3"/>
  <c r="B137" i="3"/>
  <c r="D140" i="3"/>
  <c r="D114" i="3"/>
  <c r="B59" i="3"/>
  <c r="B122" i="3"/>
  <c r="B82" i="3"/>
  <c r="D92" i="3"/>
  <c r="B134" i="3"/>
  <c r="D77" i="3"/>
  <c r="D138" i="3"/>
  <c r="B80" i="3"/>
  <c r="B70" i="3"/>
  <c r="B68" i="3"/>
  <c r="D132" i="3"/>
  <c r="D111" i="3"/>
  <c r="B86" i="3"/>
  <c r="B116" i="3"/>
  <c r="D72" i="3"/>
  <c r="D101" i="3"/>
  <c r="D139" i="3"/>
  <c r="B45" i="3"/>
  <c r="D146" i="3"/>
  <c r="D64" i="3"/>
  <c r="D61" i="3"/>
  <c r="B139" i="3"/>
  <c r="D124" i="3"/>
  <c r="D60" i="3"/>
  <c r="D62" i="3"/>
  <c r="B135" i="3"/>
  <c r="B60" i="3"/>
  <c r="C60" i="3" s="1"/>
  <c r="D84" i="3"/>
  <c r="B118" i="3"/>
  <c r="D67" i="3"/>
  <c r="D122" i="3"/>
  <c r="B112" i="3"/>
  <c r="B125" i="3"/>
  <c r="B145" i="3"/>
  <c r="D103" i="3"/>
  <c r="B76" i="3"/>
  <c r="D118" i="3"/>
  <c r="B130" i="3"/>
  <c r="B66" i="3"/>
  <c r="B126" i="3"/>
  <c r="D108" i="3"/>
  <c r="B37" i="3"/>
  <c r="D126" i="3"/>
  <c r="B91" i="3"/>
  <c r="B75" i="3"/>
  <c r="B144" i="3"/>
  <c r="B140" i="3"/>
  <c r="D83" i="3"/>
  <c r="B29" i="3"/>
  <c r="D120" i="3"/>
  <c r="B81" i="3"/>
  <c r="C81" i="3" s="1"/>
  <c r="B33" i="3"/>
  <c r="B78" i="3"/>
  <c r="B61" i="3"/>
  <c r="B103" i="3"/>
  <c r="D70" i="3"/>
  <c r="B114" i="3"/>
  <c r="B39" i="3"/>
  <c r="B62" i="3"/>
  <c r="C62" i="3" s="1"/>
  <c r="B147" i="3"/>
  <c r="B79" i="3"/>
  <c r="B42" i="3"/>
  <c r="B104" i="3"/>
  <c r="B110" i="3"/>
  <c r="B71" i="3"/>
  <c r="H20" i="3"/>
  <c r="H19" i="3" s="1"/>
  <c r="C20" i="3" s="1"/>
  <c r="D110" i="3"/>
  <c r="B83" i="3"/>
  <c r="B100" i="3"/>
  <c r="B128" i="3"/>
  <c r="B124" i="3"/>
  <c r="B64" i="3"/>
  <c r="B133" i="3"/>
  <c r="B105" i="3"/>
  <c r="D65" i="3"/>
  <c r="D73" i="3"/>
  <c r="D69" i="3"/>
  <c r="D78" i="3"/>
  <c r="B95" i="3"/>
  <c r="D90" i="3"/>
  <c r="B101" i="3"/>
  <c r="D127" i="3"/>
  <c r="B27" i="3"/>
  <c r="C11" i="3"/>
  <c r="H11" i="3" s="1"/>
  <c r="D123" i="3"/>
  <c r="B44" i="3"/>
  <c r="B146" i="3"/>
  <c r="B67" i="3"/>
  <c r="D148" i="3"/>
  <c r="D145" i="3"/>
  <c r="D96" i="3"/>
  <c r="B87" i="3"/>
  <c r="B65" i="3"/>
  <c r="C65" i="3" s="1"/>
  <c r="B143" i="3"/>
  <c r="D144" i="3"/>
  <c r="D98" i="3"/>
  <c r="D80" i="3"/>
  <c r="B148" i="3"/>
  <c r="D79" i="3"/>
  <c r="D116" i="3"/>
  <c r="D143" i="3"/>
  <c r="D66" i="3"/>
  <c r="B46" i="3"/>
  <c r="B127" i="3"/>
  <c r="D128" i="3"/>
  <c r="B85" i="3"/>
  <c r="B63" i="3"/>
  <c r="B96" i="3"/>
  <c r="B136" i="3"/>
  <c r="C136" i="3" s="1"/>
  <c r="D95" i="3"/>
  <c r="B120" i="3"/>
  <c r="D113" i="3"/>
  <c r="D63" i="3"/>
  <c r="B28" i="3"/>
  <c r="B141" i="3"/>
  <c r="B111" i="3"/>
  <c r="D112" i="3"/>
  <c r="B98" i="3"/>
  <c r="D75" i="3"/>
  <c r="B115" i="3"/>
  <c r="D129" i="3"/>
  <c r="A1" i="1"/>
  <c r="B1" i="1"/>
  <c r="G1" i="1"/>
  <c r="C1" i="1"/>
  <c r="D1" i="1"/>
  <c r="E1" i="1"/>
  <c r="F1" i="1"/>
  <c r="C99" i="3" l="1"/>
  <c r="C134" i="3"/>
  <c r="C77" i="3"/>
  <c r="C105" i="3"/>
  <c r="C82" i="3"/>
  <c r="C114" i="3"/>
  <c r="C125" i="3"/>
  <c r="C109" i="3"/>
  <c r="C64" i="3"/>
  <c r="C110" i="3"/>
  <c r="C120" i="3"/>
  <c r="C146" i="3"/>
  <c r="C61" i="3"/>
  <c r="C92" i="3"/>
  <c r="C70" i="3"/>
  <c r="C98" i="3"/>
  <c r="C143" i="3"/>
  <c r="C101" i="3"/>
  <c r="C133" i="3"/>
  <c r="C71" i="3"/>
  <c r="C119" i="3"/>
  <c r="C111" i="3"/>
  <c r="C96" i="3"/>
  <c r="C87" i="3"/>
  <c r="C131" i="3"/>
  <c r="C95" i="3"/>
  <c r="C124" i="3"/>
  <c r="C104" i="3"/>
  <c r="C126" i="3"/>
  <c r="C112" i="3"/>
  <c r="C68" i="3"/>
  <c r="C122" i="3"/>
  <c r="C123" i="3"/>
  <c r="C88" i="3"/>
  <c r="C69" i="3"/>
  <c r="C117" i="3"/>
  <c r="C79" i="3"/>
  <c r="C128" i="3"/>
  <c r="C103" i="3"/>
  <c r="C140" i="3"/>
  <c r="C66" i="3"/>
  <c r="C73" i="3"/>
  <c r="C63" i="3"/>
  <c r="H85" i="3"/>
  <c r="J85" i="3" s="1"/>
  <c r="C90" i="3"/>
  <c r="C85" i="3"/>
  <c r="C148" i="3"/>
  <c r="C100" i="3"/>
  <c r="C144" i="3"/>
  <c r="C139" i="3"/>
  <c r="C74" i="3"/>
  <c r="C89" i="3"/>
  <c r="C141" i="3"/>
  <c r="C130" i="3"/>
  <c r="C108" i="3"/>
  <c r="C83" i="3"/>
  <c r="D55" i="3" s="1"/>
  <c r="C142" i="3"/>
  <c r="C118" i="3"/>
  <c r="C86" i="3"/>
  <c r="C93" i="3"/>
  <c r="C113" i="3"/>
  <c r="C80" i="3"/>
  <c r="C115" i="3"/>
  <c r="C127" i="3"/>
  <c r="C67" i="3"/>
  <c r="C59" i="3"/>
  <c r="C147" i="3"/>
  <c r="C91" i="3"/>
  <c r="C76" i="3"/>
  <c r="C137" i="3"/>
  <c r="D30" i="3"/>
  <c r="F30" i="3" s="1"/>
  <c r="C72" i="3"/>
  <c r="C102" i="3"/>
  <c r="C107" i="3"/>
  <c r="C132" i="3"/>
  <c r="D34" i="3"/>
  <c r="F34" i="3" s="1"/>
  <c r="D32" i="3"/>
  <c r="F32" i="3" s="1"/>
  <c r="F78" i="3"/>
  <c r="D36" i="3"/>
  <c r="F36" i="3" s="1"/>
  <c r="D38" i="3"/>
  <c r="F38" i="3" s="1"/>
  <c r="C21" i="3"/>
  <c r="F100" i="3"/>
  <c r="F123" i="3"/>
  <c r="F129" i="3"/>
  <c r="G129" i="3" s="1"/>
  <c r="F106" i="3"/>
  <c r="F120" i="3"/>
  <c r="G120" i="3" s="1"/>
  <c r="D46" i="3"/>
  <c r="F46" i="3" s="1"/>
  <c r="H46" i="3" s="1"/>
  <c r="I46" i="3" s="1"/>
  <c r="F121" i="3"/>
  <c r="H60" i="3"/>
  <c r="J60" i="3" s="1"/>
  <c r="C106" i="3"/>
  <c r="F61" i="3"/>
  <c r="F92" i="3"/>
  <c r="G92" i="3" s="1"/>
  <c r="H133" i="3"/>
  <c r="D39" i="3"/>
  <c r="F39" i="3" s="1"/>
  <c r="H39" i="3" s="1"/>
  <c r="I39" i="3" s="1"/>
  <c r="F102" i="3"/>
  <c r="G102" i="3" s="1"/>
  <c r="D48" i="3"/>
  <c r="F48" i="3" s="1"/>
  <c r="H48" i="3" s="1"/>
  <c r="I48" i="3" s="1"/>
  <c r="H125" i="3"/>
  <c r="F116" i="3"/>
  <c r="F108" i="3"/>
  <c r="H132" i="3"/>
  <c r="H96" i="3"/>
  <c r="J96" i="3" s="1"/>
  <c r="H67" i="3"/>
  <c r="J67" i="3" s="1"/>
  <c r="H86" i="3"/>
  <c r="J86" i="3" s="1"/>
  <c r="C78" i="3"/>
  <c r="C75" i="3"/>
  <c r="C116" i="3"/>
  <c r="C94" i="3"/>
  <c r="C129" i="3"/>
  <c r="C97" i="3"/>
  <c r="C145" i="3"/>
  <c r="C135" i="3"/>
  <c r="C84" i="3"/>
  <c r="F134" i="3"/>
  <c r="H18" i="3"/>
  <c r="C18" i="3" s="1"/>
  <c r="H102" i="3"/>
  <c r="J102" i="3" s="1"/>
  <c r="F117" i="3"/>
  <c r="G117" i="3" s="1"/>
  <c r="H78" i="3"/>
  <c r="J78" i="3" s="1"/>
  <c r="H100" i="3"/>
  <c r="J100" i="3" s="1"/>
  <c r="H63" i="3"/>
  <c r="J63" i="3" s="1"/>
  <c r="F81" i="3"/>
  <c r="F141" i="3"/>
  <c r="F142" i="3"/>
  <c r="H142" i="3"/>
  <c r="F95" i="3"/>
  <c r="G95" i="3" s="1"/>
  <c r="H145" i="3"/>
  <c r="F73" i="3"/>
  <c r="G73" i="3" s="1"/>
  <c r="F70" i="3"/>
  <c r="G70" i="3" s="1"/>
  <c r="F97" i="3"/>
  <c r="F146" i="3"/>
  <c r="F118" i="3"/>
  <c r="F83" i="3"/>
  <c r="F68" i="3"/>
  <c r="G68" i="3" s="1"/>
  <c r="H134" i="3"/>
  <c r="H61" i="3"/>
  <c r="J61" i="3" s="1"/>
  <c r="D29" i="3"/>
  <c r="F29" i="3" s="1"/>
  <c r="H29" i="3" s="1"/>
  <c r="I29" i="3" s="1"/>
  <c r="H140" i="3"/>
  <c r="H112" i="3"/>
  <c r="F72" i="3"/>
  <c r="D49" i="3"/>
  <c r="F49" i="3" s="1"/>
  <c r="H49" i="3" s="1"/>
  <c r="I49" i="3" s="1"/>
  <c r="H121" i="3"/>
  <c r="F125" i="3"/>
  <c r="H73" i="3"/>
  <c r="J73" i="3" s="1"/>
  <c r="F126" i="3"/>
  <c r="G126" i="3" s="1"/>
  <c r="H70" i="3"/>
  <c r="J70" i="3" s="1"/>
  <c r="H91" i="3"/>
  <c r="J91" i="3" s="1"/>
  <c r="H126" i="3"/>
  <c r="F128" i="3"/>
  <c r="H65" i="3"/>
  <c r="J65" i="3" s="1"/>
  <c r="H129" i="3"/>
  <c r="F112" i="3"/>
  <c r="G112" i="3" s="1"/>
  <c r="H89" i="3"/>
  <c r="J89" i="3" s="1"/>
  <c r="D35" i="3"/>
  <c r="F35" i="3" s="1"/>
  <c r="H35" i="3" s="1"/>
  <c r="I35" i="3" s="1"/>
  <c r="D40" i="3"/>
  <c r="F40" i="3" s="1"/>
  <c r="G40" i="3" s="1"/>
  <c r="D33" i="3"/>
  <c r="F33" i="3" s="1"/>
  <c r="G33" i="3" s="1"/>
  <c r="F127" i="3"/>
  <c r="F113" i="3"/>
  <c r="G113" i="3" s="1"/>
  <c r="F103" i="3"/>
  <c r="H71" i="3"/>
  <c r="J71" i="3" s="1"/>
  <c r="H84" i="3"/>
  <c r="J84" i="3" s="1"/>
  <c r="H124" i="3"/>
  <c r="F101" i="3"/>
  <c r="D47" i="3"/>
  <c r="F47" i="3" s="1"/>
  <c r="G47" i="3" s="1"/>
  <c r="F148" i="3"/>
  <c r="F109" i="3"/>
  <c r="G109" i="3" s="1"/>
  <c r="F90" i="3"/>
  <c r="F138" i="3"/>
  <c r="G138" i="3" s="1"/>
  <c r="F110" i="3"/>
  <c r="G110" i="3" s="1"/>
  <c r="F65" i="3"/>
  <c r="H110" i="3"/>
  <c r="H88" i="3"/>
  <c r="J88" i="3" s="1"/>
  <c r="D41" i="3"/>
  <c r="F41" i="3" s="1"/>
  <c r="H41" i="3" s="1"/>
  <c r="I41" i="3" s="1"/>
  <c r="F140" i="3"/>
  <c r="G140" i="3" s="1"/>
  <c r="F74" i="3"/>
  <c r="D43" i="3"/>
  <c r="F43" i="3" s="1"/>
  <c r="G43" i="3" s="1"/>
  <c r="F107" i="3"/>
  <c r="G107" i="3" s="1"/>
  <c r="D45" i="3"/>
  <c r="F45" i="3" s="1"/>
  <c r="H45" i="3" s="1"/>
  <c r="I45" i="3" s="1"/>
  <c r="H105" i="3"/>
  <c r="J105" i="3" s="1"/>
  <c r="F91" i="3"/>
  <c r="H98" i="3"/>
  <c r="J98" i="3" s="1"/>
  <c r="H128" i="3"/>
  <c r="H137" i="3"/>
  <c r="D42" i="3"/>
  <c r="F42" i="3" s="1"/>
  <c r="G42" i="3" s="1"/>
  <c r="H79" i="3"/>
  <c r="J79" i="3" s="1"/>
  <c r="H62" i="3"/>
  <c r="J62" i="3" s="1"/>
  <c r="F130" i="3"/>
  <c r="H146" i="3"/>
  <c r="H118" i="3"/>
  <c r="D37" i="3"/>
  <c r="F37" i="3" s="1"/>
  <c r="H37" i="3" s="1"/>
  <c r="I37" i="3" s="1"/>
  <c r="H68" i="3"/>
  <c r="J68" i="3" s="1"/>
  <c r="F114" i="3"/>
  <c r="G114" i="3" s="1"/>
  <c r="H141" i="3"/>
  <c r="F77" i="3"/>
  <c r="H94" i="3"/>
  <c r="J94" i="3" s="1"/>
  <c r="F137" i="3"/>
  <c r="H138" i="3"/>
  <c r="H108" i="3"/>
  <c r="F139" i="3"/>
  <c r="H76" i="3"/>
  <c r="J76" i="3" s="1"/>
  <c r="F132" i="3"/>
  <c r="G132" i="3" s="1"/>
  <c r="H77" i="3"/>
  <c r="J77" i="3" s="1"/>
  <c r="F82" i="3"/>
  <c r="F122" i="3"/>
  <c r="F99" i="3"/>
  <c r="F111" i="3"/>
  <c r="G111" i="3" s="1"/>
  <c r="F145" i="3"/>
  <c r="H80" i="3"/>
  <c r="J80" i="3" s="1"/>
  <c r="F124" i="3"/>
  <c r="G124" i="3" s="1"/>
  <c r="F67" i="3"/>
  <c r="F94" i="3"/>
  <c r="H109" i="3"/>
  <c r="F75" i="3"/>
  <c r="F60" i="3"/>
  <c r="G60" i="3" s="1"/>
  <c r="H143" i="3"/>
  <c r="F84" i="3"/>
  <c r="G84" i="3" s="1"/>
  <c r="H103" i="3"/>
  <c r="J103" i="3" s="1"/>
  <c r="F69" i="3"/>
  <c r="H64" i="3"/>
  <c r="J64" i="3" s="1"/>
  <c r="H147" i="3"/>
  <c r="F59" i="3"/>
  <c r="H74" i="3"/>
  <c r="J74" i="3" s="1"/>
  <c r="F98" i="3"/>
  <c r="H117" i="3"/>
  <c r="F66" i="3"/>
  <c r="G66" i="3" s="1"/>
  <c r="H135" i="3"/>
  <c r="F88" i="3"/>
  <c r="H139" i="3"/>
  <c r="H92" i="3"/>
  <c r="J92" i="3" s="1"/>
  <c r="F131" i="3"/>
  <c r="G131" i="3" s="1"/>
  <c r="H114" i="3"/>
  <c r="H87" i="3"/>
  <c r="J87" i="3" s="1"/>
  <c r="F136" i="3"/>
  <c r="G136" i="3" s="1"/>
  <c r="H90" i="3"/>
  <c r="J90" i="3" s="1"/>
  <c r="H101" i="3"/>
  <c r="J101" i="3" s="1"/>
  <c r="F64" i="3"/>
  <c r="H119" i="3"/>
  <c r="F86" i="3"/>
  <c r="G86" i="3" s="1"/>
  <c r="F105" i="3"/>
  <c r="F71" i="3"/>
  <c r="G71" i="3" s="1"/>
  <c r="H127" i="3"/>
  <c r="H95" i="3"/>
  <c r="J95" i="3" s="1"/>
  <c r="H69" i="3"/>
  <c r="J69" i="3" s="1"/>
  <c r="H131" i="3"/>
  <c r="F93" i="3"/>
  <c r="F87" i="3"/>
  <c r="G87" i="3" s="1"/>
  <c r="F135" i="3"/>
  <c r="F80" i="3"/>
  <c r="G80" i="3" s="1"/>
  <c r="H123" i="3"/>
  <c r="F63" i="3"/>
  <c r="H97" i="3"/>
  <c r="J97" i="3" s="1"/>
  <c r="H59" i="3"/>
  <c r="J59" i="3" s="1"/>
  <c r="H66" i="3"/>
  <c r="J66" i="3" s="1"/>
  <c r="F143" i="3"/>
  <c r="G143" i="3" s="1"/>
  <c r="H111" i="3"/>
  <c r="C23" i="3"/>
  <c r="H144" i="3"/>
  <c r="F89" i="3"/>
  <c r="H107" i="3"/>
  <c r="H115" i="3"/>
  <c r="H82" i="3"/>
  <c r="J82" i="3" s="1"/>
  <c r="D31" i="3"/>
  <c r="F31" i="3" s="1"/>
  <c r="H31" i="3" s="1"/>
  <c r="I31" i="3" s="1"/>
  <c r="H93" i="3"/>
  <c r="J93" i="3" s="1"/>
  <c r="F79" i="3"/>
  <c r="G79" i="3" s="1"/>
  <c r="H83" i="3"/>
  <c r="J83" i="3" s="1"/>
  <c r="F119" i="3"/>
  <c r="H75" i="3"/>
  <c r="J75" i="3" s="1"/>
  <c r="F76" i="3"/>
  <c r="F133" i="3"/>
  <c r="H130" i="3"/>
  <c r="F115" i="3"/>
  <c r="H122" i="3"/>
  <c r="G122" i="3"/>
  <c r="D44" i="3"/>
  <c r="F44" i="3" s="1"/>
  <c r="G44" i="3" s="1"/>
  <c r="D27" i="3"/>
  <c r="F27" i="3" s="1"/>
  <c r="H27" i="3" s="1"/>
  <c r="I27" i="3" s="1"/>
  <c r="H113" i="3"/>
  <c r="F144" i="3"/>
  <c r="G144" i="3" s="1"/>
  <c r="F85" i="3"/>
  <c r="D50" i="3"/>
  <c r="F50" i="3" s="1"/>
  <c r="G50" i="3" s="1"/>
  <c r="F96" i="3"/>
  <c r="G96" i="3" s="1"/>
  <c r="H81" i="3"/>
  <c r="J81" i="3" s="1"/>
  <c r="H106" i="3"/>
  <c r="H148" i="3"/>
  <c r="F104" i="3"/>
  <c r="F147" i="3"/>
  <c r="G147" i="3" s="1"/>
  <c r="D28" i="3"/>
  <c r="F28" i="3" s="1"/>
  <c r="H28" i="3" s="1"/>
  <c r="I28" i="3" s="1"/>
  <c r="H104" i="3"/>
  <c r="J104" i="3" s="1"/>
  <c r="H136" i="3"/>
  <c r="H99" i="3"/>
  <c r="J99" i="3" s="1"/>
  <c r="F62" i="3"/>
  <c r="H116" i="3"/>
  <c r="H72" i="3"/>
  <c r="J72" i="3" s="1"/>
  <c r="H120" i="3"/>
  <c r="G45" i="3"/>
  <c r="G85" i="3" l="1"/>
  <c r="G115" i="3"/>
  <c r="G135" i="3"/>
  <c r="G105" i="3"/>
  <c r="G98" i="3"/>
  <c r="G145" i="3"/>
  <c r="G139" i="3"/>
  <c r="G74" i="3"/>
  <c r="G90" i="3"/>
  <c r="G103" i="3"/>
  <c r="G125" i="3"/>
  <c r="G106" i="3"/>
  <c r="G133" i="3"/>
  <c r="G93" i="3"/>
  <c r="G59" i="3"/>
  <c r="G75" i="3"/>
  <c r="G99" i="3"/>
  <c r="G148" i="3"/>
  <c r="G127" i="3"/>
  <c r="G128" i="3"/>
  <c r="G83" i="3"/>
  <c r="G108" i="3"/>
  <c r="G61" i="3"/>
  <c r="G123" i="3"/>
  <c r="G104" i="3"/>
  <c r="G76" i="3"/>
  <c r="G64" i="3"/>
  <c r="G137" i="3"/>
  <c r="G91" i="3"/>
  <c r="G72" i="3"/>
  <c r="G118" i="3"/>
  <c r="G142" i="3"/>
  <c r="G116" i="3"/>
  <c r="G100" i="3"/>
  <c r="G62" i="3"/>
  <c r="G88" i="3"/>
  <c r="G94" i="3"/>
  <c r="G82" i="3"/>
  <c r="G130" i="3"/>
  <c r="G101" i="3"/>
  <c r="G146" i="3"/>
  <c r="G141" i="3"/>
  <c r="G134" i="3"/>
  <c r="G119" i="3"/>
  <c r="G89" i="3"/>
  <c r="G63" i="3"/>
  <c r="G69" i="3"/>
  <c r="G67" i="3"/>
  <c r="G77" i="3"/>
  <c r="G65" i="3"/>
  <c r="G97" i="3"/>
  <c r="G81" i="3"/>
  <c r="G121" i="3"/>
  <c r="G41" i="3"/>
  <c r="G78" i="3"/>
  <c r="C22" i="3"/>
  <c r="H47" i="3"/>
  <c r="I47" i="3" s="1"/>
  <c r="H33" i="3"/>
  <c r="I33" i="3" s="1"/>
  <c r="G30" i="3"/>
  <c r="H30" i="3"/>
  <c r="I30" i="3" s="1"/>
  <c r="H44" i="3"/>
  <c r="I44" i="3" s="1"/>
  <c r="G34" i="3"/>
  <c r="H34" i="3"/>
  <c r="I34" i="3" s="1"/>
  <c r="G32" i="3"/>
  <c r="H32" i="3"/>
  <c r="I32" i="3" s="1"/>
  <c r="G49" i="3"/>
  <c r="G46" i="3"/>
  <c r="H43" i="3"/>
  <c r="I43" i="3" s="1"/>
  <c r="G35" i="3"/>
  <c r="G48" i="3"/>
  <c r="G38" i="3"/>
  <c r="H38" i="3"/>
  <c r="I38" i="3" s="1"/>
  <c r="G36" i="3"/>
  <c r="H36" i="3"/>
  <c r="I36" i="3" s="1"/>
  <c r="H42" i="3"/>
  <c r="I42" i="3" s="1"/>
  <c r="G29" i="3"/>
  <c r="G39" i="3"/>
  <c r="G31" i="3"/>
  <c r="G37" i="3"/>
  <c r="H40" i="3"/>
  <c r="I40" i="3" s="1"/>
  <c r="G28" i="3"/>
  <c r="G27" i="3"/>
  <c r="H50" i="3"/>
  <c r="I50" i="3" s="1"/>
</calcChain>
</file>

<file path=xl/sharedStrings.xml><?xml version="1.0" encoding="utf-8"?>
<sst xmlns="http://schemas.openxmlformats.org/spreadsheetml/2006/main" count="249" uniqueCount="139">
  <si>
    <t xml:space="preserve"> </t>
  </si>
  <si>
    <t>Gini</t>
  </si>
  <si>
    <t>Sqrt[()/2]</t>
  </si>
  <si>
    <t>Ln(Mn/Md)</t>
  </si>
  <si>
    <t>cdf$(Md)</t>
  </si>
  <si>
    <t>cdf#(Mn)</t>
  </si>
  <si>
    <t>cdf$(Mn)</t>
  </si>
  <si>
    <t>Model cdf(Median), cdf(Mean) and Gini as a function of the Mean-Median ratio</t>
  </si>
  <si>
    <t>Mn/Md</t>
  </si>
  <si>
    <t>Median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</si>
  <si>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</si>
  <si>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</si>
  <si>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</si>
  <si>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</si>
  <si>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</si>
  <si>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</si>
  <si>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</si>
  <si>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</si>
  <si>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</si>
  <si>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Assume Households have a Log-Normal Distribution by Income.</t>
  </si>
  <si>
    <t>Households Log-Normal Distribution</t>
  </si>
  <si>
    <t>Households Normal Distribution</t>
  </si>
  <si>
    <t>Bottom</t>
  </si>
  <si>
    <t>TD-Ratio</t>
  </si>
  <si>
    <t>Ave$</t>
  </si>
  <si>
    <t>Income</t>
  </si>
  <si>
    <t>=EXP(mu)</t>
  </si>
  <si>
    <t>mu</t>
  </si>
  <si>
    <t>%#</t>
  </si>
  <si>
    <t>#Cutoff$</t>
  </si>
  <si>
    <t>%#-CDF</t>
  </si>
  <si>
    <t>%$-CDF</t>
  </si>
  <si>
    <t>%#down</t>
  </si>
  <si>
    <t>%$down</t>
  </si>
  <si>
    <t>%$/%#</t>
  </si>
  <si>
    <t>Mean</t>
  </si>
  <si>
    <t>=EXP(mu + S^2 / 2)</t>
  </si>
  <si>
    <t>mu+S^2/2</t>
  </si>
  <si>
    <t xml:space="preserve">Sigma^2 </t>
  </si>
  <si>
    <t>Mode</t>
  </si>
  <si>
    <t>Sigma</t>
  </si>
  <si>
    <t>PDF# (Mode)</t>
  </si>
  <si>
    <t>Std.Dev</t>
  </si>
  <si>
    <t>Schield/Roper</t>
  </si>
  <si>
    <t>Gini Coefficient</t>
  </si>
  <si>
    <t>with parameters mu$ = (mu# + sigma#^2) and sigma$ = sigma#</t>
  </si>
  <si>
    <t>Total Income Normal Distribution</t>
  </si>
  <si>
    <t>Schield</t>
  </si>
  <si>
    <t>FormulaText()</t>
  </si>
  <si>
    <t>B57</t>
  </si>
  <si>
    <t>G57</t>
  </si>
  <si>
    <t>C57</t>
  </si>
  <si>
    <t>H57</t>
  </si>
  <si>
    <t>D57</t>
  </si>
  <si>
    <t>I57</t>
  </si>
  <si>
    <t>J</t>
  </si>
  <si>
    <t>PDF#</t>
  </si>
  <si>
    <t>% of mode</t>
  </si>
  <si>
    <t>CDF#</t>
  </si>
  <si>
    <t>PDF$</t>
  </si>
  <si>
    <t>CDF$</t>
  </si>
  <si>
    <t>CDF #-$</t>
  </si>
  <si>
    <t>Max diff</t>
  </si>
  <si>
    <t>Multiply</t>
  </si>
  <si>
    <t>%ofScale</t>
  </si>
  <si>
    <t>total Income has a Log-Normal Distribution by HH Income [Aitchinson &amp; Brown (1957)]</t>
  </si>
  <si>
    <t>Ave/Min</t>
  </si>
  <si>
    <t xml:space="preserve">       TOP_DOWN</t>
  </si>
  <si>
    <t xml:space="preserve">    BOTTOM-UP</t>
  </si>
  <si>
    <t>Distribute Subjects by Income</t>
  </si>
  <si>
    <t>DistributeTotal Income by Amount</t>
  </si>
  <si>
    <t>Cell</t>
  </si>
  <si>
    <t>=formulaText()</t>
  </si>
  <si>
    <t>=FormulaText()</t>
  </si>
  <si>
    <t>Name</t>
  </si>
  <si>
    <t>Pdf equal</t>
  </si>
  <si>
    <t xml:space="preserve">S^2 </t>
  </si>
  <si>
    <t>S</t>
  </si>
  <si>
    <t>#7</t>
  </si>
  <si>
    <t>#8</t>
  </si>
  <si>
    <t>16a</t>
  </si>
  <si>
    <t>16b</t>
  </si>
  <si>
    <t>#17</t>
  </si>
  <si>
    <t>#18</t>
  </si>
  <si>
    <t>V0F</t>
  </si>
  <si>
    <t>Y = -0.256 + 0.435(Mean/Median - 1)</t>
  </si>
  <si>
    <t>=(G+1)/2</t>
  </si>
  <si>
    <t>Log-Normal Distribution of HH by HH Income</t>
  </si>
  <si>
    <t>Log-Normal Dist. of Total Income by HH Income</t>
  </si>
  <si>
    <t xml:space="preserve">Std.Dev </t>
  </si>
  <si>
    <t xml:space="preserve">PDF# (Mode) </t>
  </si>
  <si>
    <t xml:space="preserve">Mode </t>
  </si>
  <si>
    <t xml:space="preserve">Gini Coefficient </t>
  </si>
  <si>
    <t xml:space="preserve">Median </t>
  </si>
  <si>
    <t xml:space="preserve">Mean </t>
  </si>
  <si>
    <t xml:space="preserve">StdDev=Mean*CV </t>
  </si>
  <si>
    <t>#19</t>
  </si>
  <si>
    <t>#15</t>
  </si>
  <si>
    <t>#20</t>
  </si>
  <si>
    <t>#21</t>
  </si>
  <si>
    <t>Misc</t>
  </si>
  <si>
    <t>Harmonic</t>
  </si>
  <si>
    <t>%ile</t>
  </si>
  <si>
    <t>Formula #</t>
  </si>
  <si>
    <t>Result</t>
  </si>
  <si>
    <t xml:space="preserve"> Formula</t>
  </si>
  <si>
    <t>Since households have a Log-Normal distribution by Income with mu# and sigma#, it follows that</t>
  </si>
  <si>
    <t>mu$</t>
  </si>
  <si>
    <t>mu#</t>
  </si>
  <si>
    <t>CDF# as %</t>
  </si>
  <si>
    <t>CDF$ %</t>
  </si>
  <si>
    <t>PDF</t>
  </si>
  <si>
    <t>Total</t>
  </si>
  <si>
    <t>X*PDF</t>
  </si>
  <si>
    <t>Determine the average percentile of HH by income at which money is earned.</t>
  </si>
  <si>
    <t>X</t>
  </si>
  <si>
    <t>TOTAL</t>
  </si>
  <si>
    <t>RAW</t>
  </si>
  <si>
    <t>ADJUST</t>
  </si>
  <si>
    <t>UNIT</t>
  </si>
  <si>
    <t>UNIT = 10 PERCENTILES</t>
  </si>
  <si>
    <t>UNIT = 5 PERCENTILES</t>
  </si>
  <si>
    <t>UNIT = 2 PERCENTILES</t>
  </si>
  <si>
    <t>UNIT = 0.5 PERCENTILES</t>
  </si>
  <si>
    <t>UNIT = 1 PERCENTILE</t>
  </si>
  <si>
    <t>GRAND TOTAL</t>
  </si>
  <si>
    <t>Farris Average Percentile</t>
  </si>
  <si>
    <t>(G+1)/2</t>
  </si>
  <si>
    <t>CHANGE</t>
  </si>
  <si>
    <t>CALCULATED EMPIRICALLY (smaller units)</t>
  </si>
  <si>
    <t>Theory</t>
  </si>
  <si>
    <t>Empirical appears to approach theoretical</t>
  </si>
  <si>
    <t>asymptotically from below.</t>
  </si>
  <si>
    <t xml:space="preserve">%Tot$ |  &gt; Ave$/HH </t>
  </si>
  <si>
    <t xml:space="preserve">%HH |  &lt; Ave$/HH </t>
  </si>
  <si>
    <t>Diff</t>
  </si>
  <si>
    <t>1-Gini</t>
  </si>
  <si>
    <t>rsBelow</t>
  </si>
  <si>
    <t>rsBelow2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</si>
</sst>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164" formatCode="0.0"/>
    <numFmt numFmtId="165" formatCode="0.0%"/>
    <numFmt numFmtId="166" formatCode="0.000"/>
    <numFmt numFmtId="167" formatCode="#,##0.000"/>
    <numFmt numFmtId="168" formatCode="0.0000"/>
    <numFmt numFmtId="169" formatCode="0.000000"/>
    <numFmt numFmtId="170" formatCode="0.00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Border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0" fontId="1" fillId="0" borderId="0" xfId="0" quotePrefix="1" applyNumberFormat="1" applyFont="1"/>
    <xf numFmtId="166" fontId="0" fillId="0" borderId="0" xfId="0" applyNumberFormat="1"/>
    <xf numFmtId="166" fontId="3" fillId="0" borderId="0" xfId="0" applyNumberFormat="1" applyFont="1"/>
    <xf numFmtId="166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/>
    <xf numFmtId="0" fontId="1" fillId="0" borderId="0" xfId="1" applyBorder="1"/>
    <xf numFmtId="165" fontId="1" fillId="0" borderId="0" xfId="1" applyNumberFormat="1" applyBorder="1" applyAlignment="1">
      <alignment horizontal="center"/>
    </xf>
    <xf numFmtId="0" fontId="3" fillId="0" borderId="0" xfId="1" applyFont="1"/>
    <xf numFmtId="0" fontId="1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quotePrefix="1" applyFont="1"/>
    <xf numFmtId="166" fontId="1" fillId="0" borderId="4" xfId="1" applyNumberFormat="1" applyBorder="1" applyAlignment="1">
      <alignment horizontal="center"/>
    </xf>
    <xf numFmtId="0" fontId="1" fillId="0" borderId="0" xfId="1" quotePrefix="1"/>
    <xf numFmtId="166" fontId="1" fillId="0" borderId="0" xfId="1" applyNumberFormat="1" applyFon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2" fontId="1" fillId="0" borderId="0" xfId="1" applyNumberFormat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166" fontId="1" fillId="0" borderId="7" xfId="1" applyNumberForma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0" fontId="1" fillId="0" borderId="3" xfId="1" applyNumberFormat="1" applyFon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5" fontId="1" fillId="0" borderId="6" xfId="1" applyNumberFormat="1" applyBorder="1" applyAlignment="1">
      <alignment horizontal="center"/>
    </xf>
    <xf numFmtId="0" fontId="1" fillId="0" borderId="5" xfId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165" fontId="1" fillId="0" borderId="6" xfId="1" applyNumberFormat="1" applyFont="1" applyBorder="1" applyAlignment="1">
      <alignment horizontal="center"/>
    </xf>
    <xf numFmtId="10" fontId="1" fillId="0" borderId="6" xfId="1" applyNumberFormat="1" applyFont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164" fontId="1" fillId="0" borderId="12" xfId="1" quotePrefix="1" applyNumberFormat="1" applyBorder="1" applyAlignment="1">
      <alignment horizontal="center"/>
    </xf>
    <xf numFmtId="0" fontId="1" fillId="0" borderId="13" xfId="1" applyBorder="1"/>
    <xf numFmtId="166" fontId="1" fillId="0" borderId="10" xfId="1" applyNumberFormat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11" fontId="1" fillId="0" borderId="14" xfId="1" quotePrefix="1" applyNumberFormat="1" applyFont="1" applyBorder="1" applyAlignment="1">
      <alignment horizontal="center"/>
    </xf>
    <xf numFmtId="0" fontId="1" fillId="0" borderId="0" xfId="1" applyFont="1" applyFill="1" applyBorder="1"/>
    <xf numFmtId="166" fontId="1" fillId="0" borderId="0" xfId="1" applyNumberFormat="1" applyBorder="1" applyAlignment="1">
      <alignment horizontal="center"/>
    </xf>
    <xf numFmtId="167" fontId="1" fillId="0" borderId="0" xfId="1" quotePrefix="1" applyNumberFormat="1" applyFont="1"/>
    <xf numFmtId="164" fontId="1" fillId="0" borderId="14" xfId="1" quotePrefix="1" applyNumberFormat="1" applyFont="1" applyBorder="1" applyAlignment="1">
      <alignment horizontal="center"/>
    </xf>
    <xf numFmtId="3" fontId="1" fillId="0" borderId="0" xfId="1" quotePrefix="1" applyNumberFormat="1" applyFont="1"/>
    <xf numFmtId="166" fontId="1" fillId="0" borderId="15" xfId="1" quotePrefix="1" applyNumberFormat="1" applyFont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166" fontId="1" fillId="0" borderId="16" xfId="1" quotePrefix="1" applyNumberFormat="1" applyFont="1" applyBorder="1" applyAlignment="1">
      <alignment horizontal="center"/>
    </xf>
    <xf numFmtId="165" fontId="1" fillId="0" borderId="9" xfId="1" applyNumberFormat="1" applyBorder="1" applyAlignment="1">
      <alignment horizontal="center"/>
    </xf>
    <xf numFmtId="0" fontId="1" fillId="2" borderId="0" xfId="1" applyFont="1" applyFill="1" applyBorder="1"/>
    <xf numFmtId="0" fontId="1" fillId="2" borderId="0" xfId="1" applyFill="1"/>
    <xf numFmtId="164" fontId="1" fillId="2" borderId="0" xfId="1" quotePrefix="1" applyNumberFormat="1" applyFont="1" applyFill="1" applyBorder="1" applyAlignment="1">
      <alignment horizontal="center"/>
    </xf>
    <xf numFmtId="0" fontId="1" fillId="2" borderId="0" xfId="1" quotePrefix="1" applyFill="1"/>
    <xf numFmtId="164" fontId="1" fillId="0" borderId="0" xfId="1" quotePrefix="1" applyNumberFormat="1" applyFont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164" fontId="1" fillId="0" borderId="6" xfId="1" applyNumberFormat="1" applyFont="1" applyFill="1" applyBorder="1" applyAlignment="1">
      <alignment horizontal="center"/>
    </xf>
    <xf numFmtId="165" fontId="1" fillId="0" borderId="6" xfId="1" applyNumberFormat="1" applyFont="1" applyFill="1" applyBorder="1" applyAlignment="1">
      <alignment horizontal="center"/>
    </xf>
    <xf numFmtId="10" fontId="1" fillId="0" borderId="6" xfId="1" applyNumberFormat="1" applyFont="1" applyFill="1" applyBorder="1" applyAlignment="1">
      <alignment horizontal="center"/>
    </xf>
    <xf numFmtId="165" fontId="1" fillId="0" borderId="6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3" fillId="0" borderId="0" xfId="1" quotePrefix="1" applyFont="1"/>
    <xf numFmtId="10" fontId="1" fillId="0" borderId="6" xfId="1" applyNumberFormat="1" applyBorder="1" applyAlignment="1">
      <alignment horizontal="center"/>
    </xf>
    <xf numFmtId="3" fontId="7" fillId="0" borderId="11" xfId="1" applyNumberFormat="1" applyFont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166" fontId="6" fillId="0" borderId="10" xfId="1" applyNumberFormat="1" applyFon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6" fontId="1" fillId="0" borderId="14" xfId="1" quotePrefix="1" applyNumberFormat="1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/>
    </xf>
    <xf numFmtId="10" fontId="1" fillId="0" borderId="9" xfId="1" applyNumberFormat="1" applyFont="1" applyBorder="1" applyAlignment="1">
      <alignment horizontal="center"/>
    </xf>
    <xf numFmtId="10" fontId="1" fillId="0" borderId="9" xfId="1" applyNumberForma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3" fontId="1" fillId="0" borderId="9" xfId="1" applyNumberForma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11" fontId="1" fillId="2" borderId="0" xfId="1" quotePrefix="1" applyNumberFormat="1" applyFont="1" applyFill="1" applyBorder="1" applyAlignment="1">
      <alignment horizontal="center"/>
    </xf>
    <xf numFmtId="0" fontId="1" fillId="2" borderId="0" xfId="1" quotePrefix="1" applyFont="1" applyFill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quotePrefix="1" applyFont="1" applyAlignment="1">
      <alignment horizontal="right"/>
    </xf>
    <xf numFmtId="0" fontId="3" fillId="3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11" fontId="1" fillId="0" borderId="6" xfId="1" quotePrefix="1" applyNumberFormat="1" applyFont="1" applyBorder="1"/>
    <xf numFmtId="10" fontId="1" fillId="0" borderId="7" xfId="1" quotePrefix="1" applyNumberFormat="1" applyFont="1" applyBorder="1" applyAlignment="1">
      <alignment horizontal="center"/>
    </xf>
    <xf numFmtId="11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2" fontId="1" fillId="0" borderId="0" xfId="1" applyNumberFormat="1"/>
    <xf numFmtId="10" fontId="1" fillId="0" borderId="0" xfId="1" applyNumberFormat="1"/>
    <xf numFmtId="10" fontId="3" fillId="0" borderId="6" xfId="1" applyNumberFormat="1" applyFont="1" applyBorder="1" applyAlignment="1">
      <alignment horizontal="center"/>
    </xf>
    <xf numFmtId="11" fontId="1" fillId="0" borderId="17" xfId="1" quotePrefix="1" applyNumberFormat="1" applyFont="1" applyBorder="1"/>
    <xf numFmtId="10" fontId="1" fillId="0" borderId="18" xfId="1" applyNumberFormat="1" applyBorder="1" applyAlignment="1">
      <alignment horizontal="center"/>
    </xf>
    <xf numFmtId="11" fontId="1" fillId="0" borderId="19" xfId="1" quotePrefix="1" applyNumberFormat="1" applyFont="1" applyBorder="1"/>
    <xf numFmtId="165" fontId="1" fillId="0" borderId="0" xfId="1" applyNumberFormat="1"/>
    <xf numFmtId="2" fontId="1" fillId="0" borderId="0" xfId="1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17" xfId="1" applyNumberFormat="1" applyBorder="1" applyAlignment="1">
      <alignment horizontal="center"/>
    </xf>
    <xf numFmtId="10" fontId="1" fillId="0" borderId="20" xfId="1" quotePrefix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 applyAlignment="1">
      <alignment horizontal="right"/>
    </xf>
    <xf numFmtId="6" fontId="1" fillId="0" borderId="0" xfId="1" applyNumberForma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2" fontId="1" fillId="0" borderId="0" xfId="1" applyNumberFormat="1" applyBorder="1" applyAlignment="1">
      <alignment horizontal="center"/>
    </xf>
    <xf numFmtId="165" fontId="1" fillId="0" borderId="0" xfId="1" applyNumberFormat="1" applyFont="1" applyBorder="1" applyAlignment="1">
      <alignment horizontal="left"/>
    </xf>
    <xf numFmtId="165" fontId="1" fillId="0" borderId="3" xfId="1" applyNumberFormat="1" applyFont="1" applyBorder="1" applyAlignment="1">
      <alignment horizontal="center"/>
    </xf>
    <xf numFmtId="164" fontId="1" fillId="0" borderId="6" xfId="1" applyNumberFormat="1" applyFill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165" fontId="3" fillId="0" borderId="0" xfId="1" applyNumberFormat="1" applyFont="1"/>
    <xf numFmtId="168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quotePrefix="1" applyFont="1"/>
    <xf numFmtId="0" fontId="1" fillId="0" borderId="0" xfId="0" applyFont="1" applyAlignment="1">
      <alignment horizontal="center"/>
    </xf>
    <xf numFmtId="169" fontId="1" fillId="0" borderId="15" xfId="1" quotePrefix="1" applyNumberFormat="1" applyFont="1" applyBorder="1" applyAlignment="1">
      <alignment horizontal="center"/>
    </xf>
    <xf numFmtId="169" fontId="1" fillId="0" borderId="16" xfId="1" quotePrefix="1" applyNumberFormat="1" applyFont="1" applyBorder="1" applyAlignment="1">
      <alignment horizontal="center"/>
    </xf>
    <xf numFmtId="0" fontId="8" fillId="0" borderId="0" xfId="1" applyFont="1"/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166" fontId="1" fillId="0" borderId="0" xfId="0" applyNumberFormat="1" applyFont="1"/>
    <xf numFmtId="166" fontId="1" fillId="0" borderId="0" xfId="1" applyNumberFormat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4" fontId="1" fillId="0" borderId="0" xfId="1" applyNumberFormat="1"/>
    <xf numFmtId="166" fontId="4" fillId="0" borderId="0" xfId="0" applyNumberFormat="1" applyFont="1"/>
    <xf numFmtId="166" fontId="3" fillId="0" borderId="0" xfId="0" quotePrefix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8" fontId="1" fillId="0" borderId="0" xfId="1" applyNumberFormat="1" applyAlignment="1">
      <alignment horizontal="center"/>
    </xf>
    <xf numFmtId="166" fontId="1" fillId="0" borderId="0" xfId="1" applyNumberFormat="1"/>
    <xf numFmtId="164" fontId="1" fillId="0" borderId="0" xfId="1" applyNumberFormat="1" applyFill="1" applyAlignment="1">
      <alignment horizontal="center"/>
    </xf>
    <xf numFmtId="164" fontId="1" fillId="0" borderId="0" xfId="1" applyNumberForma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7" xfId="0" applyBorder="1"/>
    <xf numFmtId="0" fontId="1" fillId="0" borderId="10" xfId="0" applyFont="1" applyBorder="1" applyAlignment="1">
      <alignment horizontal="center"/>
    </xf>
    <xf numFmtId="17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0" fontId="8" fillId="0" borderId="0" xfId="0" applyFont="1"/>
    <xf numFmtId="165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Lognormal</a:t>
            </a:r>
            <a:r>
              <a:rPr lang="en-US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Distribution PDFs</a:t>
            </a:r>
            <a:endParaRPr lang="en-US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2541666666666668"/>
          <c:w val="0.85332174103237091"/>
          <c:h val="0.6977395013123359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'S1'!$C$58</c:f>
              <c:strCache>
                <c:ptCount val="1"/>
                <c:pt idx="0">
                  <c:v>% of mode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'S1'!$A$59:$A$122</c:f>
              <c:numCache>
                <c:formatCode>#,##0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22</c:v>
                </c:pt>
                <c:pt idx="15">
                  <c:v>24</c:v>
                </c:pt>
                <c:pt idx="16">
                  <c:v>26</c:v>
                </c:pt>
                <c:pt idx="17">
                  <c:v>28</c:v>
                </c:pt>
                <c:pt idx="18">
                  <c:v>30</c:v>
                </c:pt>
                <c:pt idx="19">
                  <c:v>33</c:v>
                </c:pt>
                <c:pt idx="20">
                  <c:v>36</c:v>
                </c:pt>
                <c:pt idx="21">
                  <c:v>40</c:v>
                </c:pt>
                <c:pt idx="22">
                  <c:v>43</c:v>
                </c:pt>
                <c:pt idx="23">
                  <c:v>46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65</c:v>
                </c:pt>
                <c:pt idx="28">
                  <c:v>70</c:v>
                </c:pt>
                <c:pt idx="29">
                  <c:v>75</c:v>
                </c:pt>
                <c:pt idx="30">
                  <c:v>80</c:v>
                </c:pt>
                <c:pt idx="31">
                  <c:v>90</c:v>
                </c:pt>
                <c:pt idx="32">
                  <c:v>100</c:v>
                </c:pt>
                <c:pt idx="33">
                  <c:v>110</c:v>
                </c:pt>
                <c:pt idx="34">
                  <c:v>120</c:v>
                </c:pt>
                <c:pt idx="35">
                  <c:v>130</c:v>
                </c:pt>
                <c:pt idx="36">
                  <c:v>140</c:v>
                </c:pt>
                <c:pt idx="37">
                  <c:v>150</c:v>
                </c:pt>
                <c:pt idx="38">
                  <c:v>160</c:v>
                </c:pt>
                <c:pt idx="39">
                  <c:v>170</c:v>
                </c:pt>
                <c:pt idx="40">
                  <c:v>180</c:v>
                </c:pt>
                <c:pt idx="41">
                  <c:v>190</c:v>
                </c:pt>
                <c:pt idx="42">
                  <c:v>200</c:v>
                </c:pt>
                <c:pt idx="43">
                  <c:v>210</c:v>
                </c:pt>
                <c:pt idx="44">
                  <c:v>220</c:v>
                </c:pt>
                <c:pt idx="45">
                  <c:v>230</c:v>
                </c:pt>
                <c:pt idx="46">
                  <c:v>240</c:v>
                </c:pt>
                <c:pt idx="47">
                  <c:v>250</c:v>
                </c:pt>
                <c:pt idx="48">
                  <c:v>260</c:v>
                </c:pt>
                <c:pt idx="49">
                  <c:v>270</c:v>
                </c:pt>
                <c:pt idx="50">
                  <c:v>280</c:v>
                </c:pt>
                <c:pt idx="51">
                  <c:v>290</c:v>
                </c:pt>
                <c:pt idx="52">
                  <c:v>300</c:v>
                </c:pt>
                <c:pt idx="53">
                  <c:v>310</c:v>
                </c:pt>
                <c:pt idx="54">
                  <c:v>320</c:v>
                </c:pt>
                <c:pt idx="55">
                  <c:v>340</c:v>
                </c:pt>
                <c:pt idx="56">
                  <c:v>360</c:v>
                </c:pt>
                <c:pt idx="57">
                  <c:v>380</c:v>
                </c:pt>
                <c:pt idx="58">
                  <c:v>400</c:v>
                </c:pt>
                <c:pt idx="59">
                  <c:v>420</c:v>
                </c:pt>
                <c:pt idx="60">
                  <c:v>440</c:v>
                </c:pt>
                <c:pt idx="61">
                  <c:v>460</c:v>
                </c:pt>
                <c:pt idx="62">
                  <c:v>480</c:v>
                </c:pt>
                <c:pt idx="63">
                  <c:v>500</c:v>
                </c:pt>
              </c:numCache>
            </c:numRef>
          </c:xVal>
          <c:yVal>
            <c:numRef>
              <c:f>'S1'!$C$59:$C$122</c:f>
              <c:numCache>
                <c:formatCode>0.00%</c:formatCode>
                <c:ptCount val="64"/>
                <c:pt idx="0">
                  <c:v>9.1107260786743374E-3</c:v>
                </c:pt>
                <c:pt idx="1">
                  <c:v>6.3143750031068022E-2</c:v>
                </c:pt>
                <c:pt idx="2">
                  <c:v>0.15461522815888282</c:v>
                </c:pt>
                <c:pt idx="3">
                  <c:v>0.26250209347935738</c:v>
                </c:pt>
                <c:pt idx="4">
                  <c:v>0.37248618499038955</c:v>
                </c:pt>
                <c:pt idx="5">
                  <c:v>0.5711833697901626</c:v>
                </c:pt>
                <c:pt idx="6">
                  <c:v>0.65457617150810476</c:v>
                </c:pt>
                <c:pt idx="7">
                  <c:v>0.72665260239757057</c:v>
                </c:pt>
                <c:pt idx="8">
                  <c:v>0.78791180573716046</c:v>
                </c:pt>
                <c:pt idx="9">
                  <c:v>0.88143036457135859</c:v>
                </c:pt>
                <c:pt idx="10">
                  <c:v>0.94273662955451865</c:v>
                </c:pt>
                <c:pt idx="11">
                  <c:v>0.97906749367617985</c:v>
                </c:pt>
                <c:pt idx="12">
                  <c:v>0.99646069863679065</c:v>
                </c:pt>
                <c:pt idx="13">
                  <c:v>0.99970085895824801</c:v>
                </c:pt>
                <c:pt idx="14">
                  <c:v>0.99249255280743698</c:v>
                </c:pt>
                <c:pt idx="15">
                  <c:v>0.97767251889803419</c:v>
                </c:pt>
                <c:pt idx="16">
                  <c:v>0.95740118999863766</c:v>
                </c:pt>
                <c:pt idx="17">
                  <c:v>0.93331926146322164</c:v>
                </c:pt>
                <c:pt idx="18">
                  <c:v>0.90667038711918679</c:v>
                </c:pt>
                <c:pt idx="19">
                  <c:v>0.8638775687591862</c:v>
                </c:pt>
                <c:pt idx="20">
                  <c:v>0.81963130056361211</c:v>
                </c:pt>
                <c:pt idx="21">
                  <c:v>0.76082984857291058</c:v>
                </c:pt>
                <c:pt idx="22">
                  <c:v>0.71800380998450097</c:v>
                </c:pt>
                <c:pt idx="23">
                  <c:v>0.67684016556269</c:v>
                </c:pt>
                <c:pt idx="24">
                  <c:v>0.62500000000000056</c:v>
                </c:pt>
                <c:pt idx="25">
                  <c:v>0.56544304606824936</c:v>
                </c:pt>
                <c:pt idx="26">
                  <c:v>0.51170524539139595</c:v>
                </c:pt>
                <c:pt idx="27">
                  <c:v>0.46348466647812586</c:v>
                </c:pt>
                <c:pt idx="28">
                  <c:v>0.42033831384943832</c:v>
                </c:pt>
                <c:pt idx="29">
                  <c:v>0.38177803100889601</c:v>
                </c:pt>
                <c:pt idx="30">
                  <c:v>0.34732019727322738</c:v>
                </c:pt>
                <c:pt idx="31">
                  <c:v>0.28893260048730862</c:v>
                </c:pt>
                <c:pt idx="32">
                  <c:v>0.2420262832569211</c:v>
                </c:pt>
                <c:pt idx="33">
                  <c:v>0.20410283613997438</c:v>
                </c:pt>
                <c:pt idx="34">
                  <c:v>0.17322689698654506</c:v>
                </c:pt>
                <c:pt idx="35">
                  <c:v>0.14791008100078623</c:v>
                </c:pt>
                <c:pt idx="36">
                  <c:v>0.12700735786128142</c:v>
                </c:pt>
                <c:pt idx="37">
                  <c:v>0.10963428997179439</c:v>
                </c:pt>
                <c:pt idx="38">
                  <c:v>9.5103731071613754E-2</c:v>
                </c:pt>
                <c:pt idx="39">
                  <c:v>8.2878247357492066E-2</c:v>
                </c:pt>
                <c:pt idx="40">
                  <c:v>7.2534557146157849E-2</c:v>
                </c:pt>
                <c:pt idx="41">
                  <c:v>6.3736944244447286E-2</c:v>
                </c:pt>
                <c:pt idx="42">
                  <c:v>5.6217310582051191E-2</c:v>
                </c:pt>
                <c:pt idx="43">
                  <c:v>4.9760131781022558E-2</c:v>
                </c:pt>
                <c:pt idx="44">
                  <c:v>4.4191040904986878E-2</c:v>
                </c:pt>
                <c:pt idx="45">
                  <c:v>3.9368108504098241E-2</c:v>
                </c:pt>
                <c:pt idx="46">
                  <c:v>3.5175137407762978E-2</c:v>
                </c:pt>
                <c:pt idx="47">
                  <c:v>3.1516472229486441E-2</c:v>
                </c:pt>
                <c:pt idx="48">
                  <c:v>2.8312954989282928E-2</c:v>
                </c:pt>
                <c:pt idx="49">
                  <c:v>2.5498753627033861E-2</c:v>
                </c:pt>
                <c:pt idx="50">
                  <c:v>2.3018859642048074E-2</c:v>
                </c:pt>
                <c:pt idx="51">
                  <c:v>2.0827101939410349E-2</c:v>
                </c:pt>
                <c:pt idx="52">
                  <c:v>1.8884561391798019E-2</c:v>
                </c:pt>
                <c:pt idx="53">
                  <c:v>1.7158298341876158E-2</c:v>
                </c:pt>
                <c:pt idx="54">
                  <c:v>1.5620325921222651E-2</c:v>
                </c:pt>
                <c:pt idx="55">
                  <c:v>1.3017228604362281E-2</c:v>
                </c:pt>
                <c:pt idx="56">
                  <c:v>1.0922408141031929E-2</c:v>
                </c:pt>
                <c:pt idx="57">
                  <c:v>9.2225298415689622E-3</c:v>
                </c:pt>
                <c:pt idx="58">
                  <c:v>7.832539949409436E-3</c:v>
                </c:pt>
                <c:pt idx="59">
                  <c:v>6.6878943762289349E-3</c:v>
                </c:pt>
                <c:pt idx="60">
                  <c:v>5.7391085980941278E-3</c:v>
                </c:pt>
                <c:pt idx="61">
                  <c:v>4.9478830965683247E-3</c:v>
                </c:pt>
                <c:pt idx="62">
                  <c:v>4.2843140583655702E-3</c:v>
                </c:pt>
                <c:pt idx="63">
                  <c:v>3.7248618499039067E-3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'S1'!$E$58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30"/>
            <c:marker>
              <c:symbol val="circle"/>
              <c:size val="5"/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8100" cap="rnd">
                <a:solidFill>
                  <a:schemeClr val="tx1"/>
                </a:solidFill>
                <a:round/>
              </a:ln>
              <a:effectLst/>
            </c:spPr>
          </c:dPt>
          <c:xVal>
            <c:numRef>
              <c:f>'S1'!$A$59:$A$122</c:f>
              <c:numCache>
                <c:formatCode>#,##0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22</c:v>
                </c:pt>
                <c:pt idx="15">
                  <c:v>24</c:v>
                </c:pt>
                <c:pt idx="16">
                  <c:v>26</c:v>
                </c:pt>
                <c:pt idx="17">
                  <c:v>28</c:v>
                </c:pt>
                <c:pt idx="18">
                  <c:v>30</c:v>
                </c:pt>
                <c:pt idx="19">
                  <c:v>33</c:v>
                </c:pt>
                <c:pt idx="20">
                  <c:v>36</c:v>
                </c:pt>
                <c:pt idx="21">
                  <c:v>40</c:v>
                </c:pt>
                <c:pt idx="22">
                  <c:v>43</c:v>
                </c:pt>
                <c:pt idx="23">
                  <c:v>46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65</c:v>
                </c:pt>
                <c:pt idx="28">
                  <c:v>70</c:v>
                </c:pt>
                <c:pt idx="29">
                  <c:v>75</c:v>
                </c:pt>
                <c:pt idx="30">
                  <c:v>80</c:v>
                </c:pt>
                <c:pt idx="31">
                  <c:v>90</c:v>
                </c:pt>
                <c:pt idx="32">
                  <c:v>100</c:v>
                </c:pt>
                <c:pt idx="33">
                  <c:v>110</c:v>
                </c:pt>
                <c:pt idx="34">
                  <c:v>120</c:v>
                </c:pt>
                <c:pt idx="35">
                  <c:v>130</c:v>
                </c:pt>
                <c:pt idx="36">
                  <c:v>140</c:v>
                </c:pt>
                <c:pt idx="37">
                  <c:v>150</c:v>
                </c:pt>
                <c:pt idx="38">
                  <c:v>160</c:v>
                </c:pt>
                <c:pt idx="39">
                  <c:v>170</c:v>
                </c:pt>
                <c:pt idx="40">
                  <c:v>180</c:v>
                </c:pt>
                <c:pt idx="41">
                  <c:v>190</c:v>
                </c:pt>
                <c:pt idx="42">
                  <c:v>200</c:v>
                </c:pt>
                <c:pt idx="43">
                  <c:v>210</c:v>
                </c:pt>
                <c:pt idx="44">
                  <c:v>220</c:v>
                </c:pt>
                <c:pt idx="45">
                  <c:v>230</c:v>
                </c:pt>
                <c:pt idx="46">
                  <c:v>240</c:v>
                </c:pt>
                <c:pt idx="47">
                  <c:v>250</c:v>
                </c:pt>
                <c:pt idx="48">
                  <c:v>260</c:v>
                </c:pt>
                <c:pt idx="49">
                  <c:v>270</c:v>
                </c:pt>
                <c:pt idx="50">
                  <c:v>280</c:v>
                </c:pt>
                <c:pt idx="51">
                  <c:v>290</c:v>
                </c:pt>
                <c:pt idx="52">
                  <c:v>300</c:v>
                </c:pt>
                <c:pt idx="53">
                  <c:v>310</c:v>
                </c:pt>
                <c:pt idx="54">
                  <c:v>320</c:v>
                </c:pt>
                <c:pt idx="55">
                  <c:v>340</c:v>
                </c:pt>
                <c:pt idx="56">
                  <c:v>360</c:v>
                </c:pt>
                <c:pt idx="57">
                  <c:v>380</c:v>
                </c:pt>
                <c:pt idx="58">
                  <c:v>400</c:v>
                </c:pt>
                <c:pt idx="59">
                  <c:v>420</c:v>
                </c:pt>
                <c:pt idx="60">
                  <c:v>440</c:v>
                </c:pt>
                <c:pt idx="61">
                  <c:v>460</c:v>
                </c:pt>
                <c:pt idx="62">
                  <c:v>480</c:v>
                </c:pt>
                <c:pt idx="63">
                  <c:v>500</c:v>
                </c:pt>
              </c:numCache>
            </c:numRef>
          </c:xVal>
          <c:yVal>
            <c:numRef>
              <c:f>'S1'!$E$59:$E$122</c:f>
              <c:numCache>
                <c:formatCode>0.00</c:formatCode>
                <c:ptCount val="64"/>
                <c:pt idx="30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'S1'!$G$58</c:f>
              <c:strCache>
                <c:ptCount val="1"/>
                <c:pt idx="0">
                  <c:v>%ofScale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'S1'!$A$59:$A$122</c:f>
              <c:numCache>
                <c:formatCode>#,##0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22</c:v>
                </c:pt>
                <c:pt idx="15">
                  <c:v>24</c:v>
                </c:pt>
                <c:pt idx="16">
                  <c:v>26</c:v>
                </c:pt>
                <c:pt idx="17">
                  <c:v>28</c:v>
                </c:pt>
                <c:pt idx="18">
                  <c:v>30</c:v>
                </c:pt>
                <c:pt idx="19">
                  <c:v>33</c:v>
                </c:pt>
                <c:pt idx="20">
                  <c:v>36</c:v>
                </c:pt>
                <c:pt idx="21">
                  <c:v>40</c:v>
                </c:pt>
                <c:pt idx="22">
                  <c:v>43</c:v>
                </c:pt>
                <c:pt idx="23">
                  <c:v>46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65</c:v>
                </c:pt>
                <c:pt idx="28">
                  <c:v>70</c:v>
                </c:pt>
                <c:pt idx="29">
                  <c:v>75</c:v>
                </c:pt>
                <c:pt idx="30">
                  <c:v>80</c:v>
                </c:pt>
                <c:pt idx="31">
                  <c:v>90</c:v>
                </c:pt>
                <c:pt idx="32">
                  <c:v>100</c:v>
                </c:pt>
                <c:pt idx="33">
                  <c:v>110</c:v>
                </c:pt>
                <c:pt idx="34">
                  <c:v>120</c:v>
                </c:pt>
                <c:pt idx="35">
                  <c:v>130</c:v>
                </c:pt>
                <c:pt idx="36">
                  <c:v>140</c:v>
                </c:pt>
                <c:pt idx="37">
                  <c:v>150</c:v>
                </c:pt>
                <c:pt idx="38">
                  <c:v>160</c:v>
                </c:pt>
                <c:pt idx="39">
                  <c:v>170</c:v>
                </c:pt>
                <c:pt idx="40">
                  <c:v>180</c:v>
                </c:pt>
                <c:pt idx="41">
                  <c:v>190</c:v>
                </c:pt>
                <c:pt idx="42">
                  <c:v>200</c:v>
                </c:pt>
                <c:pt idx="43">
                  <c:v>210</c:v>
                </c:pt>
                <c:pt idx="44">
                  <c:v>220</c:v>
                </c:pt>
                <c:pt idx="45">
                  <c:v>230</c:v>
                </c:pt>
                <c:pt idx="46">
                  <c:v>240</c:v>
                </c:pt>
                <c:pt idx="47">
                  <c:v>250</c:v>
                </c:pt>
                <c:pt idx="48">
                  <c:v>260</c:v>
                </c:pt>
                <c:pt idx="49">
                  <c:v>270</c:v>
                </c:pt>
                <c:pt idx="50">
                  <c:v>280</c:v>
                </c:pt>
                <c:pt idx="51">
                  <c:v>290</c:v>
                </c:pt>
                <c:pt idx="52">
                  <c:v>300</c:v>
                </c:pt>
                <c:pt idx="53">
                  <c:v>310</c:v>
                </c:pt>
                <c:pt idx="54">
                  <c:v>320</c:v>
                </c:pt>
                <c:pt idx="55">
                  <c:v>340</c:v>
                </c:pt>
                <c:pt idx="56">
                  <c:v>360</c:v>
                </c:pt>
                <c:pt idx="57">
                  <c:v>380</c:v>
                </c:pt>
                <c:pt idx="58">
                  <c:v>400</c:v>
                </c:pt>
                <c:pt idx="59">
                  <c:v>420</c:v>
                </c:pt>
                <c:pt idx="60">
                  <c:v>440</c:v>
                </c:pt>
                <c:pt idx="61">
                  <c:v>460</c:v>
                </c:pt>
                <c:pt idx="62">
                  <c:v>480</c:v>
                </c:pt>
                <c:pt idx="63">
                  <c:v>500</c:v>
                </c:pt>
              </c:numCache>
            </c:numRef>
          </c:xVal>
          <c:yVal>
            <c:numRef>
              <c:f>'S1'!$G$59:$G$122</c:f>
              <c:numCache>
                <c:formatCode>0.00%</c:formatCode>
                <c:ptCount val="64"/>
                <c:pt idx="0">
                  <c:v>1.1388407598342948E-4</c:v>
                </c:pt>
                <c:pt idx="1">
                  <c:v>1.578593750776707E-3</c:v>
                </c:pt>
                <c:pt idx="2">
                  <c:v>5.7980710559581523E-3</c:v>
                </c:pt>
                <c:pt idx="3">
                  <c:v>1.312510467396793E-2</c:v>
                </c:pt>
                <c:pt idx="4">
                  <c:v>2.3280386561899458E-2</c:v>
                </c:pt>
                <c:pt idx="5">
                  <c:v>4.9978544856639245E-2</c:v>
                </c:pt>
                <c:pt idx="6">
                  <c:v>6.545761715081054E-2</c:v>
                </c:pt>
                <c:pt idx="7">
                  <c:v>8.1748417769726606E-2</c:v>
                </c:pt>
                <c:pt idx="8">
                  <c:v>9.8488975717145211E-2</c:v>
                </c:pt>
                <c:pt idx="9">
                  <c:v>0.13221455468570387</c:v>
                </c:pt>
                <c:pt idx="10">
                  <c:v>0.1649789101720408</c:v>
                </c:pt>
                <c:pt idx="11">
                  <c:v>0.19581349873523607</c:v>
                </c:pt>
                <c:pt idx="12">
                  <c:v>0.2242036571932782</c:v>
                </c:pt>
                <c:pt idx="13">
                  <c:v>0.24992521473956214</c:v>
                </c:pt>
                <c:pt idx="14">
                  <c:v>0.27293545202204511</c:v>
                </c:pt>
                <c:pt idx="15">
                  <c:v>0.29330175566941102</c:v>
                </c:pt>
                <c:pt idx="16">
                  <c:v>0.31115538674955751</c:v>
                </c:pt>
                <c:pt idx="17">
                  <c:v>0.32666174151212773</c:v>
                </c:pt>
                <c:pt idx="18">
                  <c:v>0.34000139516969535</c:v>
                </c:pt>
                <c:pt idx="19">
                  <c:v>0.35634949711316455</c:v>
                </c:pt>
                <c:pt idx="20">
                  <c:v>0.3688340852536261</c:v>
                </c:pt>
                <c:pt idx="21">
                  <c:v>0.38041492428645557</c:v>
                </c:pt>
                <c:pt idx="22">
                  <c:v>0.38592704786667026</c:v>
                </c:pt>
                <c:pt idx="23">
                  <c:v>0.38918309519854755</c:v>
                </c:pt>
                <c:pt idx="24">
                  <c:v>0.39062500000000078</c:v>
                </c:pt>
                <c:pt idx="25">
                  <c:v>0.38874209417192235</c:v>
                </c:pt>
                <c:pt idx="26">
                  <c:v>0.38377893404354696</c:v>
                </c:pt>
                <c:pt idx="27">
                  <c:v>0.37658129151347791</c:v>
                </c:pt>
                <c:pt idx="28">
                  <c:v>0.36779602461825933</c:v>
                </c:pt>
                <c:pt idx="29">
                  <c:v>0.35791690407083998</c:v>
                </c:pt>
                <c:pt idx="30">
                  <c:v>0.34732019727322794</c:v>
                </c:pt>
                <c:pt idx="31">
                  <c:v>0.32504917554822221</c:v>
                </c:pt>
                <c:pt idx="32">
                  <c:v>0.3025328540711516</c:v>
                </c:pt>
                <c:pt idx="33">
                  <c:v>0.28064139969246499</c:v>
                </c:pt>
                <c:pt idx="34">
                  <c:v>0.25984034547981771</c:v>
                </c:pt>
                <c:pt idx="35">
                  <c:v>0.24035388162627769</c:v>
                </c:pt>
                <c:pt idx="36">
                  <c:v>0.2222628762572425</c:v>
                </c:pt>
                <c:pt idx="37">
                  <c:v>0.20556429369711457</c:v>
                </c:pt>
                <c:pt idx="38">
                  <c:v>0.19020746214322759</c:v>
                </c:pt>
                <c:pt idx="39">
                  <c:v>0.17611627563467047</c:v>
                </c:pt>
                <c:pt idx="40">
                  <c:v>0.16320275357885525</c:v>
                </c:pt>
                <c:pt idx="41">
                  <c:v>0.15137524258056217</c:v>
                </c:pt>
                <c:pt idx="42">
                  <c:v>0.14054327645512799</c:v>
                </c:pt>
                <c:pt idx="43">
                  <c:v>0.13062034592518426</c:v>
                </c:pt>
                <c:pt idx="44">
                  <c:v>0.12152536248871428</c:v>
                </c:pt>
                <c:pt idx="45">
                  <c:v>0.11318331194928255</c:v>
                </c:pt>
                <c:pt idx="46">
                  <c:v>0.1055254122232888</c:v>
                </c:pt>
                <c:pt idx="47">
                  <c:v>9.8488975717145169E-2</c:v>
                </c:pt>
                <c:pt idx="48">
                  <c:v>9.2017103715169385E-2</c:v>
                </c:pt>
                <c:pt idx="49">
                  <c:v>8.6058293491239196E-2</c:v>
                </c:pt>
                <c:pt idx="50">
                  <c:v>8.0566008747168308E-2</c:v>
                </c:pt>
                <c:pt idx="51">
                  <c:v>7.5498244530362538E-2</c:v>
                </c:pt>
                <c:pt idx="52">
                  <c:v>7.081710521924249E-2</c:v>
                </c:pt>
                <c:pt idx="53">
                  <c:v>6.6488406074770204E-2</c:v>
                </c:pt>
                <c:pt idx="54">
                  <c:v>6.2481303684890514E-2</c:v>
                </c:pt>
                <c:pt idx="55">
                  <c:v>5.532322156853977E-2</c:v>
                </c:pt>
                <c:pt idx="56">
                  <c:v>4.915083663464373E-2</c:v>
                </c:pt>
                <c:pt idx="57">
                  <c:v>4.3807016747452542E-2</c:v>
                </c:pt>
                <c:pt idx="58">
                  <c:v>3.9162699747047135E-2</c:v>
                </c:pt>
                <c:pt idx="59">
                  <c:v>3.5111445475201876E-2</c:v>
                </c:pt>
                <c:pt idx="60">
                  <c:v>3.1565097289517716E-2</c:v>
                </c:pt>
                <c:pt idx="61">
                  <c:v>2.8450327805267836E-2</c:v>
                </c:pt>
                <c:pt idx="62">
                  <c:v>2.5705884350193393E-2</c:v>
                </c:pt>
                <c:pt idx="63">
                  <c:v>2.3280386561899437E-2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601224"/>
        <c:axId val="409597696"/>
      </c:scatterChart>
      <c:valAx>
        <c:axId val="409601224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HH Income ($,1000)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9597696"/>
        <c:crosses val="autoZero"/>
        <c:crossBetween val="midCat"/>
      </c:valAx>
      <c:valAx>
        <c:axId val="409597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960122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Measures of Equality:  rsBelow and 1-Gini </a:t>
            </a:r>
          </a:p>
        </c:rich>
      </c:tx>
      <c:layout>
        <c:manualLayout>
          <c:xMode val="edge"/>
          <c:yMode val="edge"/>
          <c:x val="0.170138888888888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405074365704292E-2"/>
          <c:y val="0.14019685039370078"/>
          <c:w val="0.88229636920384957"/>
          <c:h val="0.64988006707494894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'S2'!$G$4</c:f>
              <c:strCache>
                <c:ptCount val="1"/>
                <c:pt idx="0">
                  <c:v>Gini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'S2'!$A$5:$A$42</c:f>
              <c:numCache>
                <c:formatCode>0.00</c:formatCode>
                <c:ptCount val="38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  <c:pt idx="20">
                  <c:v>2.25</c:v>
                </c:pt>
                <c:pt idx="21" formatCode="0.0">
                  <c:v>2.5</c:v>
                </c:pt>
                <c:pt idx="22" formatCode="0.0">
                  <c:v>3</c:v>
                </c:pt>
                <c:pt idx="23" formatCode="0.0">
                  <c:v>3.5</c:v>
                </c:pt>
                <c:pt idx="24" formatCode="0.0">
                  <c:v>4</c:v>
                </c:pt>
                <c:pt idx="25" formatCode="0.0">
                  <c:v>4.5</c:v>
                </c:pt>
                <c:pt idx="26" formatCode="0">
                  <c:v>5</c:v>
                </c:pt>
                <c:pt idx="27" formatCode="0">
                  <c:v>6</c:v>
                </c:pt>
                <c:pt idx="28" formatCode="0">
                  <c:v>7</c:v>
                </c:pt>
                <c:pt idx="29" formatCode="0">
                  <c:v>8</c:v>
                </c:pt>
                <c:pt idx="30" formatCode="0">
                  <c:v>9</c:v>
                </c:pt>
                <c:pt idx="31" formatCode="0">
                  <c:v>10</c:v>
                </c:pt>
                <c:pt idx="32" formatCode="0">
                  <c:v>11</c:v>
                </c:pt>
                <c:pt idx="33" formatCode="0">
                  <c:v>12</c:v>
                </c:pt>
                <c:pt idx="34" formatCode="0">
                  <c:v>15</c:v>
                </c:pt>
                <c:pt idx="35" formatCode="0">
                  <c:v>20</c:v>
                </c:pt>
                <c:pt idx="36" formatCode="0">
                  <c:v>25</c:v>
                </c:pt>
                <c:pt idx="37" formatCode="0">
                  <c:v>30</c:v>
                </c:pt>
              </c:numCache>
            </c:numRef>
          </c:xVal>
          <c:yVal>
            <c:numRef>
              <c:f>'S2'!$H$5:$H$42</c:f>
              <c:numCache>
                <c:formatCode>0.000</c:formatCode>
                <c:ptCount val="38"/>
                <c:pt idx="0">
                  <c:v>0.9747791806361894</c:v>
                </c:pt>
                <c:pt idx="1">
                  <c:v>0.92054173627469638</c:v>
                </c:pt>
                <c:pt idx="2">
                  <c:v>0.88808971609964527</c:v>
                </c:pt>
                <c:pt idx="3">
                  <c:v>0.86349512796406569</c:v>
                </c:pt>
                <c:pt idx="4">
                  <c:v>0.84301204638621741</c:v>
                </c:pt>
                <c:pt idx="5">
                  <c:v>0.82518201082099996</c:v>
                </c:pt>
                <c:pt idx="6">
                  <c:v>0.79477679472941176</c:v>
                </c:pt>
                <c:pt idx="7">
                  <c:v>0.75753189027319312</c:v>
                </c:pt>
                <c:pt idx="8">
                  <c:v>0.70851778853014191</c:v>
                </c:pt>
                <c:pt idx="9">
                  <c:v>0.66938567596137322</c:v>
                </c:pt>
                <c:pt idx="10">
                  <c:v>0.63665505841737091</c:v>
                </c:pt>
                <c:pt idx="11">
                  <c:v>0.60850050641665243</c:v>
                </c:pt>
                <c:pt idx="12">
                  <c:v>0.58381685813536466</c:v>
                </c:pt>
                <c:pt idx="13">
                  <c:v>0.56187262643050695</c:v>
                </c:pt>
                <c:pt idx="14">
                  <c:v>0.52428025842926163</c:v>
                </c:pt>
                <c:pt idx="15">
                  <c:v>0.49298549892750421</c:v>
                </c:pt>
                <c:pt idx="16">
                  <c:v>0.46634284942222082</c:v>
                </c:pt>
                <c:pt idx="17">
                  <c:v>0.44327628019543219</c:v>
                </c:pt>
                <c:pt idx="18">
                  <c:v>0.42304027440225589</c:v>
                </c:pt>
                <c:pt idx="19">
                  <c:v>0.40509596643302492</c:v>
                </c:pt>
                <c:pt idx="20">
                  <c:v>0.36784537484679936</c:v>
                </c:pt>
                <c:pt idx="21">
                  <c:v>0.33845079348290552</c:v>
                </c:pt>
                <c:pt idx="22">
                  <c:v>0.29457085073223599</c:v>
                </c:pt>
                <c:pt idx="23">
                  <c:v>0.26302542068361379</c:v>
                </c:pt>
                <c:pt idx="24">
                  <c:v>0.23903189144951198</c:v>
                </c:pt>
                <c:pt idx="25">
                  <c:v>0.2200450521356756</c:v>
                </c:pt>
                <c:pt idx="26">
                  <c:v>0.20457083228510431</c:v>
                </c:pt>
                <c:pt idx="27">
                  <c:v>0.18071193604133562</c:v>
                </c:pt>
                <c:pt idx="28">
                  <c:v>0.16302825366601281</c:v>
                </c:pt>
                <c:pt idx="29">
                  <c:v>0.14929478889480263</c:v>
                </c:pt>
                <c:pt idx="30">
                  <c:v>0.13825947569948172</c:v>
                </c:pt>
                <c:pt idx="31">
                  <c:v>0.12915887869840659</c:v>
                </c:pt>
                <c:pt idx="32">
                  <c:v>0.12149861974655485</c:v>
                </c:pt>
                <c:pt idx="33">
                  <c:v>0.11494316808728411</c:v>
                </c:pt>
                <c:pt idx="34">
                  <c:v>9.9842956726417853E-2</c:v>
                </c:pt>
                <c:pt idx="35">
                  <c:v>8.3484162171725718E-2</c:v>
                </c:pt>
                <c:pt idx="36">
                  <c:v>7.2793606063632943E-2</c:v>
                </c:pt>
                <c:pt idx="37">
                  <c:v>6.5149111102379642E-2</c:v>
                </c:pt>
              </c:numCache>
            </c:numRef>
          </c:yVal>
          <c:smooth val="1"/>
        </c:ser>
        <c:ser>
          <c:idx val="17"/>
          <c:order val="1"/>
          <c:tx>
            <c:strRef>
              <c:f>'S2'!$I$4</c:f>
              <c:strCache>
                <c:ptCount val="1"/>
                <c:pt idx="0">
                  <c:v>rsBelow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'S2'!$A$5:$A$42</c:f>
              <c:numCache>
                <c:formatCode>0.00</c:formatCode>
                <c:ptCount val="38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  <c:pt idx="20">
                  <c:v>2.25</c:v>
                </c:pt>
                <c:pt idx="21" formatCode="0.0">
                  <c:v>2.5</c:v>
                </c:pt>
                <c:pt idx="22" formatCode="0.0">
                  <c:v>3</c:v>
                </c:pt>
                <c:pt idx="23" formatCode="0.0">
                  <c:v>3.5</c:v>
                </c:pt>
                <c:pt idx="24" formatCode="0.0">
                  <c:v>4</c:v>
                </c:pt>
                <c:pt idx="25" formatCode="0.0">
                  <c:v>4.5</c:v>
                </c:pt>
                <c:pt idx="26" formatCode="0">
                  <c:v>5</c:v>
                </c:pt>
                <c:pt idx="27" formatCode="0">
                  <c:v>6</c:v>
                </c:pt>
                <c:pt idx="28" formatCode="0">
                  <c:v>7</c:v>
                </c:pt>
                <c:pt idx="29" formatCode="0">
                  <c:v>8</c:v>
                </c:pt>
                <c:pt idx="30" formatCode="0">
                  <c:v>9</c:v>
                </c:pt>
                <c:pt idx="31" formatCode="0">
                  <c:v>10</c:v>
                </c:pt>
                <c:pt idx="32" formatCode="0">
                  <c:v>11</c:v>
                </c:pt>
                <c:pt idx="33" formatCode="0">
                  <c:v>12</c:v>
                </c:pt>
                <c:pt idx="34" formatCode="0">
                  <c:v>15</c:v>
                </c:pt>
                <c:pt idx="35" formatCode="0">
                  <c:v>20</c:v>
                </c:pt>
                <c:pt idx="36" formatCode="0">
                  <c:v>25</c:v>
                </c:pt>
                <c:pt idx="37" formatCode="0">
                  <c:v>30</c:v>
                </c:pt>
              </c:numCache>
            </c:numRef>
          </c:xVal>
          <c:yVal>
            <c:numRef>
              <c:f>'S2'!$I$5:$I$42</c:f>
              <c:numCache>
                <c:formatCode>0.000</c:formatCode>
                <c:ptCount val="38"/>
                <c:pt idx="0">
                  <c:v>0.96495445233426957</c:v>
                </c:pt>
                <c:pt idx="1">
                  <c:v>0.89352332317835792</c:v>
                </c:pt>
                <c:pt idx="2">
                  <c:v>0.85311650848340903</c:v>
                </c:pt>
                <c:pt idx="3">
                  <c:v>0.82355156420376596</c:v>
                </c:pt>
                <c:pt idx="4">
                  <c:v>0.79958194476741462</c:v>
                </c:pt>
                <c:pt idx="5">
                  <c:v>0.77917557611317023</c:v>
                </c:pt>
                <c:pt idx="6">
                  <c:v>0.74530781234160137</c:v>
                </c:pt>
                <c:pt idx="7">
                  <c:v>0.70531335580470111</c:v>
                </c:pt>
                <c:pt idx="8">
                  <c:v>0.65495806548712143</c:v>
                </c:pt>
                <c:pt idx="9">
                  <c:v>0.6164315054603372</c:v>
                </c:pt>
                <c:pt idx="10">
                  <c:v>0.58524044581924994</c:v>
                </c:pt>
                <c:pt idx="11">
                  <c:v>0.55910103647245313</c:v>
                </c:pt>
                <c:pt idx="12">
                  <c:v>0.53667118316645401</c:v>
                </c:pt>
                <c:pt idx="13">
                  <c:v>0.51708718775811768</c:v>
                </c:pt>
                <c:pt idx="14">
                  <c:v>0.48425669990487824</c:v>
                </c:pt>
                <c:pt idx="15">
                  <c:v>0.45755555235006745</c:v>
                </c:pt>
                <c:pt idx="16">
                  <c:v>0.43522735727014139</c:v>
                </c:pt>
                <c:pt idx="17">
                  <c:v>0.41616614275468033</c:v>
                </c:pt>
                <c:pt idx="18">
                  <c:v>0.39963019328758531</c:v>
                </c:pt>
                <c:pt idx="19">
                  <c:v>0.38509831309048209</c:v>
                </c:pt>
                <c:pt idx="20">
                  <c:v>0.35527088488443204</c:v>
                </c:pt>
                <c:pt idx="21">
                  <c:v>0.33199424995966087</c:v>
                </c:pt>
                <c:pt idx="22">
                  <c:v>0.29752286301579151</c:v>
                </c:pt>
                <c:pt idx="23">
                  <c:v>0.27281984942420329</c:v>
                </c:pt>
                <c:pt idx="24">
                  <c:v>0.25399394440494005</c:v>
                </c:pt>
                <c:pt idx="25">
                  <c:v>0.23902804535878461</c:v>
                </c:pt>
                <c:pt idx="26">
                  <c:v>0.22675770566189088</c:v>
                </c:pt>
                <c:pt idx="27">
                  <c:v>0.20764845806322565</c:v>
                </c:pt>
                <c:pt idx="28">
                  <c:v>0.19327776233408156</c:v>
                </c:pt>
                <c:pt idx="29">
                  <c:v>0.1819537566119738</c:v>
                </c:pt>
                <c:pt idx="30">
                  <c:v>0.17272535235996858</c:v>
                </c:pt>
                <c:pt idx="31">
                  <c:v>0.1650114925567403</c:v>
                </c:pt>
                <c:pt idx="32">
                  <c:v>0.15843452140868558</c:v>
                </c:pt>
                <c:pt idx="33">
                  <c:v>0.15273692938972289</c:v>
                </c:pt>
                <c:pt idx="34">
                  <c:v>0.13932567210237062</c:v>
                </c:pt>
                <c:pt idx="35">
                  <c:v>0.12422708360833092</c:v>
                </c:pt>
                <c:pt idx="36">
                  <c:v>0.11393979554507774</c:v>
                </c:pt>
                <c:pt idx="37">
                  <c:v>0.1063230066140512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276160"/>
        <c:axId val="350274200"/>
      </c:scatterChart>
      <c:valAx>
        <c:axId val="35027616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Mean-Median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274200"/>
        <c:crosses val="autoZero"/>
        <c:crossBetween val="midCat"/>
        <c:majorUnit val="1"/>
      </c:valAx>
      <c:valAx>
        <c:axId val="350274200"/>
        <c:scaling>
          <c:orientation val="minMax"/>
          <c:max val="0.8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2761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&amp;L7/09/2015&amp;CLognormal Distributions 
by Mean-Median Ratio&amp;RV0G</c:oddHead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Lorenz Curve for Lognormal</a:t>
            </a:r>
            <a:r>
              <a:rPr lang="en-US" b="1" baseline="0">
                <a:solidFill>
                  <a:schemeClr val="tx1"/>
                </a:solidFill>
              </a:rPr>
              <a:t> Incomes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b="1" baseline="0">
                <a:solidFill>
                  <a:schemeClr val="tx1"/>
                </a:solidFill>
              </a:rPr>
              <a:t>CDF of Income vs. CDF of Subjects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'S1'!$E$58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'S1'!$D$59:$D$148</c:f>
              <c:numCache>
                <c:formatCode>0.00%</c:formatCode>
                <c:ptCount val="90"/>
                <c:pt idx="0">
                  <c:v>2.7309514230538673E-5</c:v>
                </c:pt>
                <c:pt idx="1">
                  <c:v>4.5008063588968113E-4</c:v>
                </c:pt>
                <c:pt idx="2">
                  <c:v>1.855124389261653E-3</c:v>
                </c:pt>
                <c:pt idx="3">
                  <c:v>4.5926388030443667E-3</c:v>
                </c:pt>
                <c:pt idx="4">
                  <c:v>8.7762339691896795E-3</c:v>
                </c:pt>
                <c:pt idx="5">
                  <c:v>2.1286108395982713E-2</c:v>
                </c:pt>
                <c:pt idx="6">
                  <c:v>2.9368539023850004E-2</c:v>
                </c:pt>
                <c:pt idx="7">
                  <c:v>3.8474255081250762E-2</c:v>
                </c:pt>
                <c:pt idx="8">
                  <c:v>4.8457020233010926E-2</c:v>
                </c:pt>
                <c:pt idx="9">
                  <c:v>7.051685962493115E-2</c:v>
                </c:pt>
                <c:pt idx="10">
                  <c:v>9.4598420035729047E-2</c:v>
                </c:pt>
                <c:pt idx="11">
                  <c:v>0.11995091736537582</c:v>
                </c:pt>
                <c:pt idx="12">
                  <c:v>0.14599898507102529</c:v>
                </c:pt>
                <c:pt idx="13">
                  <c:v>0.17230950767780137</c:v>
                </c:pt>
                <c:pt idx="14">
                  <c:v>0.19856068668923327</c:v>
                </c:pt>
                <c:pt idx="15">
                  <c:v>0.22451640050149793</c:v>
                </c:pt>
                <c:pt idx="16">
                  <c:v>0.25000594318454161</c:v>
                </c:pt>
                <c:pt idx="17">
                  <c:v>0.27490835453309048</c:v>
                </c:pt>
                <c:pt idx="18">
                  <c:v>0.29914041759825327</c:v>
                </c:pt>
                <c:pt idx="19">
                  <c:v>0.33411816272537576</c:v>
                </c:pt>
                <c:pt idx="20">
                  <c:v>0.36737087156274717</c:v>
                </c:pt>
                <c:pt idx="21">
                  <c:v>0.40898600931642198</c:v>
                </c:pt>
                <c:pt idx="22">
                  <c:v>0.43818940308318477</c:v>
                </c:pt>
                <c:pt idx="23">
                  <c:v>0.46573271934215571</c:v>
                </c:pt>
                <c:pt idx="24">
                  <c:v>0.5</c:v>
                </c:pt>
                <c:pt idx="25">
                  <c:v>0.53915477325889882</c:v>
                </c:pt>
                <c:pt idx="26">
                  <c:v>0.57458111574788906</c:v>
                </c:pt>
                <c:pt idx="27">
                  <c:v>0.60665335653484698</c:v>
                </c:pt>
                <c:pt idx="28">
                  <c:v>0.63572059552773685</c:v>
                </c:pt>
                <c:pt idx="29">
                  <c:v>0.66210090916152975</c:v>
                </c:pt>
                <c:pt idx="30">
                  <c:v>0.68608019666054243</c:v>
                </c:pt>
                <c:pt idx="31">
                  <c:v>0.72782672247167868</c:v>
                </c:pt>
                <c:pt idx="32">
                  <c:v>0.76267198722878393</c:v>
                </c:pt>
                <c:pt idx="33">
                  <c:v>0.79195647855171347</c:v>
                </c:pt>
                <c:pt idx="34">
                  <c:v>0.81673003877160166</c:v>
                </c:pt>
                <c:pt idx="35">
                  <c:v>0.83781834412098366</c:v>
                </c:pt>
                <c:pt idx="36">
                  <c:v>0.85587472168695422</c:v>
                </c:pt>
                <c:pt idx="37">
                  <c:v>0.8714196807971486</c:v>
                </c:pt>
                <c:pt idx="38">
                  <c:v>0.88487086412450633</c:v>
                </c:pt>
                <c:pt idx="39">
                  <c:v>0.89656574196002337</c:v>
                </c:pt>
                <c:pt idx="40">
                  <c:v>0.90677887036448712</c:v>
                </c:pt>
                <c:pt idx="41">
                  <c:v>0.91573508716361052</c:v>
                </c:pt>
                <c:pt idx="42">
                  <c:v>0.92361966637808324</c:v>
                </c:pt>
                <c:pt idx="43">
                  <c:v>0.93058618518404435</c:v>
                </c:pt>
                <c:pt idx="44">
                  <c:v>0.93676266069794611</c:v>
                </c:pt>
                <c:pt idx="45">
                  <c:v>0.94225636976256888</c:v>
                </c:pt>
                <c:pt idx="46">
                  <c:v>0.94715765956481612</c:v>
                </c:pt>
                <c:pt idx="47">
                  <c:v>0.95154297976698909</c:v>
                </c:pt>
                <c:pt idx="48">
                  <c:v>0.95547731010986359</c:v>
                </c:pt>
                <c:pt idx="49">
                  <c:v>0.95901611552419841</c:v>
                </c:pt>
                <c:pt idx="50">
                  <c:v>0.9622069296233815</c:v>
                </c:pt>
                <c:pt idx="51">
                  <c:v>0.96509064413942414</c:v>
                </c:pt>
                <c:pt idx="52">
                  <c:v>0.96770256431776969</c:v>
                </c:pt>
                <c:pt idx="53">
                  <c:v>0.97007327699438695</c:v>
                </c:pt>
                <c:pt idx="54">
                  <c:v>0.97222936794653769</c:v>
                </c:pt>
                <c:pt idx="55">
                  <c:v>0.97598749608258062</c:v>
                </c:pt>
                <c:pt idx="56">
                  <c:v>0.97912990541786049</c:v>
                </c:pt>
                <c:pt idx="57">
                  <c:v>0.98177479779352173</c:v>
                </c:pt>
                <c:pt idx="58">
                  <c:v>0.98401445574915247</c:v>
                </c:pt>
                <c:pt idx="59">
                  <c:v>0.98592160534473139</c:v>
                </c:pt>
                <c:pt idx="60">
                  <c:v>0.98755405815647912</c:v>
                </c:pt>
                <c:pt idx="61">
                  <c:v>0.98895813856779125</c:v>
                </c:pt>
                <c:pt idx="62">
                  <c:v>0.99017124230121245</c:v>
                </c:pt>
                <c:pt idx="63">
                  <c:v>0.9912237660308103</c:v>
                </c:pt>
                <c:pt idx="64">
                  <c:v>0.99330511398316468</c:v>
                </c:pt>
                <c:pt idx="65">
                  <c:v>0.99481103319321507</c:v>
                </c:pt>
                <c:pt idx="66">
                  <c:v>0.99592188403492832</c:v>
                </c:pt>
                <c:pt idx="67">
                  <c:v>0.99702954653078124</c:v>
                </c:pt>
                <c:pt idx="68">
                  <c:v>0.99738996237905564</c:v>
                </c:pt>
                <c:pt idx="69">
                  <c:v>0.99787976272178003</c:v>
                </c:pt>
                <c:pt idx="70">
                  <c:v>0.99826229899005658</c:v>
                </c:pt>
                <c:pt idx="71">
                  <c:v>0.99856429704330174</c:v>
                </c:pt>
                <c:pt idx="72">
                  <c:v>0.99880505548681575</c:v>
                </c:pt>
                <c:pt idx="73">
                  <c:v>0.99899871193104861</c:v>
                </c:pt>
                <c:pt idx="74">
                  <c:v>0.99928408008136638</c:v>
                </c:pt>
                <c:pt idx="75">
                  <c:v>0.9994770870429236</c:v>
                </c:pt>
                <c:pt idx="76">
                  <c:v>0.99961093181233462</c:v>
                </c:pt>
                <c:pt idx="77">
                  <c:v>0.99970578627605766</c:v>
                </c:pt>
                <c:pt idx="78">
                  <c:v>0.99982463143287681</c:v>
                </c:pt>
                <c:pt idx="79">
                  <c:v>0.99989053303913389</c:v>
                </c:pt>
                <c:pt idx="80">
                  <c:v>0.99992903312621095</c:v>
                </c:pt>
                <c:pt idx="81">
                  <c:v>0.99995251156301213</c:v>
                </c:pt>
                <c:pt idx="82">
                  <c:v>0.99997269048576942</c:v>
                </c:pt>
                <c:pt idx="83">
                  <c:v>0.9999879452140763</c:v>
                </c:pt>
                <c:pt idx="84">
                  <c:v>0.99999690360354176</c:v>
                </c:pt>
                <c:pt idx="85">
                  <c:v>0.99999898217229877</c:v>
                </c:pt>
                <c:pt idx="86">
                  <c:v>0.99999991733852878</c:v>
                </c:pt>
                <c:pt idx="87">
                  <c:v>0.99999997682541486</c:v>
                </c:pt>
                <c:pt idx="88">
                  <c:v>0.99999999967888231</c:v>
                </c:pt>
                <c:pt idx="89">
                  <c:v>0.99999999999947875</c:v>
                </c:pt>
              </c:numCache>
            </c:numRef>
          </c:xVal>
          <c:yVal>
            <c:numRef>
              <c:f>'S1'!$E$59:$E$148</c:f>
              <c:numCache>
                <c:formatCode>0.00</c:formatCode>
                <c:ptCount val="90"/>
                <c:pt idx="3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'S1'!$H$58</c:f>
              <c:strCache>
                <c:ptCount val="1"/>
                <c:pt idx="0">
                  <c:v>CDF$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'S1'!$D$59:$D$148</c:f>
              <c:numCache>
                <c:formatCode>0.00%</c:formatCode>
                <c:ptCount val="90"/>
                <c:pt idx="0">
                  <c:v>2.7309514230538673E-5</c:v>
                </c:pt>
                <c:pt idx="1">
                  <c:v>4.5008063588968113E-4</c:v>
                </c:pt>
                <c:pt idx="2">
                  <c:v>1.855124389261653E-3</c:v>
                </c:pt>
                <c:pt idx="3">
                  <c:v>4.5926388030443667E-3</c:v>
                </c:pt>
                <c:pt idx="4">
                  <c:v>8.7762339691896795E-3</c:v>
                </c:pt>
                <c:pt idx="5">
                  <c:v>2.1286108395982713E-2</c:v>
                </c:pt>
                <c:pt idx="6">
                  <c:v>2.9368539023850004E-2</c:v>
                </c:pt>
                <c:pt idx="7">
                  <c:v>3.8474255081250762E-2</c:v>
                </c:pt>
                <c:pt idx="8">
                  <c:v>4.8457020233010926E-2</c:v>
                </c:pt>
                <c:pt idx="9">
                  <c:v>7.051685962493115E-2</c:v>
                </c:pt>
                <c:pt idx="10">
                  <c:v>9.4598420035729047E-2</c:v>
                </c:pt>
                <c:pt idx="11">
                  <c:v>0.11995091736537582</c:v>
                </c:pt>
                <c:pt idx="12">
                  <c:v>0.14599898507102529</c:v>
                </c:pt>
                <c:pt idx="13">
                  <c:v>0.17230950767780137</c:v>
                </c:pt>
                <c:pt idx="14">
                  <c:v>0.19856068668923327</c:v>
                </c:pt>
                <c:pt idx="15">
                  <c:v>0.22451640050149793</c:v>
                </c:pt>
                <c:pt idx="16">
                  <c:v>0.25000594318454161</c:v>
                </c:pt>
                <c:pt idx="17">
                  <c:v>0.27490835453309048</c:v>
                </c:pt>
                <c:pt idx="18">
                  <c:v>0.29914041759825327</c:v>
                </c:pt>
                <c:pt idx="19">
                  <c:v>0.33411816272537576</c:v>
                </c:pt>
                <c:pt idx="20">
                  <c:v>0.36737087156274717</c:v>
                </c:pt>
                <c:pt idx="21">
                  <c:v>0.40898600931642198</c:v>
                </c:pt>
                <c:pt idx="22">
                  <c:v>0.43818940308318477</c:v>
                </c:pt>
                <c:pt idx="23">
                  <c:v>0.46573271934215571</c:v>
                </c:pt>
                <c:pt idx="24">
                  <c:v>0.5</c:v>
                </c:pt>
                <c:pt idx="25">
                  <c:v>0.53915477325889882</c:v>
                </c:pt>
                <c:pt idx="26">
                  <c:v>0.57458111574788906</c:v>
                </c:pt>
                <c:pt idx="27">
                  <c:v>0.60665335653484698</c:v>
                </c:pt>
                <c:pt idx="28">
                  <c:v>0.63572059552773685</c:v>
                </c:pt>
                <c:pt idx="29">
                  <c:v>0.66210090916152975</c:v>
                </c:pt>
                <c:pt idx="30">
                  <c:v>0.68608019666054243</c:v>
                </c:pt>
                <c:pt idx="31">
                  <c:v>0.72782672247167868</c:v>
                </c:pt>
                <c:pt idx="32">
                  <c:v>0.76267198722878393</c:v>
                </c:pt>
                <c:pt idx="33">
                  <c:v>0.79195647855171347</c:v>
                </c:pt>
                <c:pt idx="34">
                  <c:v>0.81673003877160166</c:v>
                </c:pt>
                <c:pt idx="35">
                  <c:v>0.83781834412098366</c:v>
                </c:pt>
                <c:pt idx="36">
                  <c:v>0.85587472168695422</c:v>
                </c:pt>
                <c:pt idx="37">
                  <c:v>0.8714196807971486</c:v>
                </c:pt>
                <c:pt idx="38">
                  <c:v>0.88487086412450633</c:v>
                </c:pt>
                <c:pt idx="39">
                  <c:v>0.89656574196002337</c:v>
                </c:pt>
                <c:pt idx="40">
                  <c:v>0.90677887036448712</c:v>
                </c:pt>
                <c:pt idx="41">
                  <c:v>0.91573508716361052</c:v>
                </c:pt>
                <c:pt idx="42">
                  <c:v>0.92361966637808324</c:v>
                </c:pt>
                <c:pt idx="43">
                  <c:v>0.93058618518404435</c:v>
                </c:pt>
                <c:pt idx="44">
                  <c:v>0.93676266069794611</c:v>
                </c:pt>
                <c:pt idx="45">
                  <c:v>0.94225636976256888</c:v>
                </c:pt>
                <c:pt idx="46">
                  <c:v>0.94715765956481612</c:v>
                </c:pt>
                <c:pt idx="47">
                  <c:v>0.95154297976698909</c:v>
                </c:pt>
                <c:pt idx="48">
                  <c:v>0.95547731010986359</c:v>
                </c:pt>
                <c:pt idx="49">
                  <c:v>0.95901611552419841</c:v>
                </c:pt>
                <c:pt idx="50">
                  <c:v>0.9622069296233815</c:v>
                </c:pt>
                <c:pt idx="51">
                  <c:v>0.96509064413942414</c:v>
                </c:pt>
                <c:pt idx="52">
                  <c:v>0.96770256431776969</c:v>
                </c:pt>
                <c:pt idx="53">
                  <c:v>0.97007327699438695</c:v>
                </c:pt>
                <c:pt idx="54">
                  <c:v>0.97222936794653769</c:v>
                </c:pt>
                <c:pt idx="55">
                  <c:v>0.97598749608258062</c:v>
                </c:pt>
                <c:pt idx="56">
                  <c:v>0.97912990541786049</c:v>
                </c:pt>
                <c:pt idx="57">
                  <c:v>0.98177479779352173</c:v>
                </c:pt>
                <c:pt idx="58">
                  <c:v>0.98401445574915247</c:v>
                </c:pt>
                <c:pt idx="59">
                  <c:v>0.98592160534473139</c:v>
                </c:pt>
                <c:pt idx="60">
                  <c:v>0.98755405815647912</c:v>
                </c:pt>
                <c:pt idx="61">
                  <c:v>0.98895813856779125</c:v>
                </c:pt>
                <c:pt idx="62">
                  <c:v>0.99017124230121245</c:v>
                </c:pt>
                <c:pt idx="63">
                  <c:v>0.9912237660308103</c:v>
                </c:pt>
                <c:pt idx="64">
                  <c:v>0.99330511398316468</c:v>
                </c:pt>
                <c:pt idx="65">
                  <c:v>0.99481103319321507</c:v>
                </c:pt>
                <c:pt idx="66">
                  <c:v>0.99592188403492832</c:v>
                </c:pt>
                <c:pt idx="67">
                  <c:v>0.99702954653078124</c:v>
                </c:pt>
                <c:pt idx="68">
                  <c:v>0.99738996237905564</c:v>
                </c:pt>
                <c:pt idx="69">
                  <c:v>0.99787976272178003</c:v>
                </c:pt>
                <c:pt idx="70">
                  <c:v>0.99826229899005658</c:v>
                </c:pt>
                <c:pt idx="71">
                  <c:v>0.99856429704330174</c:v>
                </c:pt>
                <c:pt idx="72">
                  <c:v>0.99880505548681575</c:v>
                </c:pt>
                <c:pt idx="73">
                  <c:v>0.99899871193104861</c:v>
                </c:pt>
                <c:pt idx="74">
                  <c:v>0.99928408008136638</c:v>
                </c:pt>
                <c:pt idx="75">
                  <c:v>0.9994770870429236</c:v>
                </c:pt>
                <c:pt idx="76">
                  <c:v>0.99961093181233462</c:v>
                </c:pt>
                <c:pt idx="77">
                  <c:v>0.99970578627605766</c:v>
                </c:pt>
                <c:pt idx="78">
                  <c:v>0.99982463143287681</c:v>
                </c:pt>
                <c:pt idx="79">
                  <c:v>0.99989053303913389</c:v>
                </c:pt>
                <c:pt idx="80">
                  <c:v>0.99992903312621095</c:v>
                </c:pt>
                <c:pt idx="81">
                  <c:v>0.99995251156301213</c:v>
                </c:pt>
                <c:pt idx="82">
                  <c:v>0.99997269048576942</c:v>
                </c:pt>
                <c:pt idx="83">
                  <c:v>0.9999879452140763</c:v>
                </c:pt>
                <c:pt idx="84">
                  <c:v>0.99999690360354176</c:v>
                </c:pt>
                <c:pt idx="85">
                  <c:v>0.99999898217229877</c:v>
                </c:pt>
                <c:pt idx="86">
                  <c:v>0.99999991733852878</c:v>
                </c:pt>
                <c:pt idx="87">
                  <c:v>0.99999997682541486</c:v>
                </c:pt>
                <c:pt idx="88">
                  <c:v>0.99999999967888231</c:v>
                </c:pt>
                <c:pt idx="89">
                  <c:v>0.99999999999947875</c:v>
                </c:pt>
              </c:numCache>
            </c:numRef>
          </c:xVal>
          <c:yVal>
            <c:numRef>
              <c:f>'S1'!$H$59:$H$148</c:f>
              <c:numCache>
                <c:formatCode>0.00%</c:formatCode>
                <c:ptCount val="90"/>
                <c:pt idx="0">
                  <c:v>2.800828997743872E-7</c:v>
                </c:pt>
                <c:pt idx="1">
                  <c:v>8.9520246780250891E-6</c:v>
                </c:pt>
                <c:pt idx="2">
                  <c:v>5.4119324871654976E-5</c:v>
                </c:pt>
                <c:pt idx="3">
                  <c:v>1.7536856712321302E-4</c:v>
                </c:pt>
                <c:pt idx="4">
                  <c:v>4.1220606839342355E-4</c:v>
                </c:pt>
                <c:pt idx="5">
                  <c:v>1.3613655746762899E-3</c:v>
                </c:pt>
                <c:pt idx="6">
                  <c:v>2.1202372782199593E-3</c:v>
                </c:pt>
                <c:pt idx="7">
                  <c:v>3.0887080775601292E-3</c:v>
                </c:pt>
                <c:pt idx="8">
                  <c:v>4.2750014678741583E-3</c:v>
                </c:pt>
                <c:pt idx="9">
                  <c:v>7.3133529234532891E-3</c:v>
                </c:pt>
                <c:pt idx="10">
                  <c:v>1.1229963284196424E-2</c:v>
                </c:pt>
                <c:pt idx="11">
                  <c:v>1.5985544250847562E-2</c:v>
                </c:pt>
                <c:pt idx="12">
                  <c:v>2.1521708533897219E-2</c:v>
                </c:pt>
                <c:pt idx="13">
                  <c:v>2.7770632053462377E-2</c:v>
                </c:pt>
                <c:pt idx="14">
                  <c:v>3.4661168496362416E-2</c:v>
                </c:pt>
                <c:pt idx="15">
                  <c:v>4.2122621178861196E-2</c:v>
                </c:pt>
                <c:pt idx="16">
                  <c:v>5.0086989623752812E-2</c:v>
                </c:pt>
                <c:pt idx="17">
                  <c:v>5.8490231107912842E-2</c:v>
                </c:pt>
                <c:pt idx="18">
                  <c:v>6.7272891066167642E-2</c:v>
                </c:pt>
                <c:pt idx="19">
                  <c:v>8.1040091182417062E-2</c:v>
                </c:pt>
                <c:pt idx="20">
                  <c:v>9.5374857024991502E-2</c:v>
                </c:pt>
                <c:pt idx="21">
                  <c:v>0.11512913587549381</c:v>
                </c:pt>
                <c:pt idx="22">
                  <c:v>0.13027310884451077</c:v>
                </c:pt>
                <c:pt idx="23">
                  <c:v>0.14558899660207605</c:v>
                </c:pt>
                <c:pt idx="24">
                  <c:v>0.16613798748279268</c:v>
                </c:pt>
                <c:pt idx="25">
                  <c:v>0.19181288563670598</c:v>
                </c:pt>
                <c:pt idx="26">
                  <c:v>0.21725714462011758</c:v>
                </c:pt>
                <c:pt idx="27">
                  <c:v>0.24229705064812118</c:v>
                </c:pt>
                <c:pt idx="28">
                  <c:v>0.26680774162794285</c:v>
                </c:pt>
                <c:pt idx="29">
                  <c:v>0.29070168144538672</c:v>
                </c:pt>
                <c:pt idx="30">
                  <c:v>0.31391980333945779</c:v>
                </c:pt>
                <c:pt idx="31">
                  <c:v>0.35819547543364927</c:v>
                </c:pt>
                <c:pt idx="32">
                  <c:v>0.39950994811796647</c:v>
                </c:pt>
                <c:pt idx="33">
                  <c:v>0.43789387163687898</c:v>
                </c:pt>
                <c:pt idx="34">
                  <c:v>0.47346354919952244</c:v>
                </c:pt>
                <c:pt idx="35">
                  <c:v>0.50637932807774688</c:v>
                </c:pt>
                <c:pt idx="36">
                  <c:v>0.53682081539153215</c:v>
                </c:pt>
                <c:pt idx="37">
                  <c:v>0.56497224070589802</c:v>
                </c:pt>
                <c:pt idx="38">
                  <c:v>0.59101399068357829</c:v>
                </c:pt>
                <c:pt idx="39">
                  <c:v>0.61511791752253009</c:v>
                </c:pt>
                <c:pt idx="40">
                  <c:v>0.63744495626740927</c:v>
                </c:pt>
                <c:pt idx="41">
                  <c:v>0.65814414702039969</c:v>
                </c:pt>
                <c:pt idx="42">
                  <c:v>0.67735249992673185</c:v>
                </c:pt>
                <c:pt idx="43">
                  <c:v>0.6951953517524917</c:v>
                </c:pt>
                <c:pt idx="44">
                  <c:v>0.71178699443436888</c:v>
                </c:pt>
                <c:pt idx="45">
                  <c:v>0.7272314387532206</c:v>
                </c:pt>
                <c:pt idx="46">
                  <c:v>0.74162322870154751</c:v>
                </c:pt>
                <c:pt idx="47">
                  <c:v>0.75504825544670795</c:v>
                </c:pt>
                <c:pt idx="48">
                  <c:v>0.76758454101239504</c:v>
                </c:pt>
                <c:pt idx="49">
                  <c:v>0.7793029752793903</c:v>
                </c:pt>
                <c:pt idx="50">
                  <c:v>0.79026799840778506</c:v>
                </c:pt>
                <c:pt idx="51">
                  <c:v>0.80053822607246117</c:v>
                </c:pt>
                <c:pt idx="52">
                  <c:v>0.81016701811818159</c:v>
                </c:pt>
                <c:pt idx="53">
                  <c:v>0.81920299311640798</c:v>
                </c:pt>
                <c:pt idx="54">
                  <c:v>0.82769049232219882</c:v>
                </c:pt>
                <c:pt idx="55">
                  <c:v>0.84317850321013532</c:v>
                </c:pt>
                <c:pt idx="56">
                  <c:v>0.85691506139751628</c:v>
                </c:pt>
                <c:pt idx="57">
                  <c:v>0.86913837021701656</c:v>
                </c:pt>
                <c:pt idx="58">
                  <c:v>0.88004908263462434</c:v>
                </c:pt>
                <c:pt idx="59">
                  <c:v>0.88981694887776508</c:v>
                </c:pt>
                <c:pt idx="60">
                  <c:v>0.89858618084898489</c:v>
                </c:pt>
                <c:pt idx="61">
                  <c:v>0.90647979494047859</c:v>
                </c:pt>
                <c:pt idx="62">
                  <c:v>0.91360314094294448</c:v>
                </c:pt>
                <c:pt idx="63">
                  <c:v>0.92004678113482941</c:v>
                </c:pt>
                <c:pt idx="64">
                  <c:v>0.93366950904802992</c:v>
                </c:pt>
                <c:pt idx="65">
                  <c:v>0.94446878165049253</c:v>
                </c:pt>
                <c:pt idx="66">
                  <c:v>0.9531302508388515</c:v>
                </c:pt>
                <c:pt idx="67">
                  <c:v>0.96258341458740571</c:v>
                </c:pt>
                <c:pt idx="68">
                  <c:v>0.96589296134892733</c:v>
                </c:pt>
                <c:pt idx="69">
                  <c:v>0.97063146097615005</c:v>
                </c:pt>
                <c:pt idx="70">
                  <c:v>0.97457156006115053</c:v>
                </c:pt>
                <c:pt idx="71">
                  <c:v>0.97787102992027486</c:v>
                </c:pt>
                <c:pt idx="72">
                  <c:v>0.98065201890463027</c:v>
                </c:pt>
                <c:pt idx="73">
                  <c:v>0.98301005595831692</c:v>
                </c:pt>
                <c:pt idx="74">
                  <c:v>0.98674353031206263</c:v>
                </c:pt>
                <c:pt idx="75">
                  <c:v>0.98951043553051654</c:v>
                </c:pt>
                <c:pt idx="76">
                  <c:v>0.99159683104364038</c:v>
                </c:pt>
                <c:pt idx="77">
                  <c:v>0.99319420549471527</c:v>
                </c:pt>
                <c:pt idx="78">
                  <c:v>0.99540736119695561</c:v>
                </c:pt>
                <c:pt idx="79">
                  <c:v>0.9968001189557153</c:v>
                </c:pt>
                <c:pt idx="80">
                  <c:v>0.99771039515577942</c:v>
                </c:pt>
                <c:pt idx="81">
                  <c:v>0.99832439119769922</c:v>
                </c:pt>
                <c:pt idx="82">
                  <c:v>0.99891306237434896</c:v>
                </c:pt>
                <c:pt idx="83">
                  <c:v>0.99942991188673358</c:v>
                </c:pt>
                <c:pt idx="84">
                  <c:v>0.99980750014692576</c:v>
                </c:pt>
                <c:pt idx="85">
                  <c:v>0.99992168412334048</c:v>
                </c:pt>
                <c:pt idx="86">
                  <c:v>0.99999000856801379</c:v>
                </c:pt>
                <c:pt idx="87">
                  <c:v>0.99999652536324313</c:v>
                </c:pt>
                <c:pt idx="88">
                  <c:v>0.99999990566120667</c:v>
                </c:pt>
                <c:pt idx="89">
                  <c:v>0.99999999962517661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13808"/>
        <c:axId val="414608712"/>
      </c:scatterChart>
      <c:valAx>
        <c:axId val="414613808"/>
        <c:scaling>
          <c:orientation val="minMax"/>
          <c:max val="1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CDF of Subjects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08712"/>
        <c:crosses val="autoZero"/>
        <c:crossBetween val="midCat"/>
        <c:majorUnit val="0.1"/>
      </c:valAx>
      <c:valAx>
        <c:axId val="414608712"/>
        <c:scaling>
          <c:orientation val="minMax"/>
          <c:max val="1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CDF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of Income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138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>
                <a:solidFill>
                  <a:schemeClr val="tx1"/>
                </a:solidFill>
              </a:rPr>
              <a:t>Log-Normal: Percentage of Total Income</a:t>
            </a:r>
            <a:endParaRPr lang="en-US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1286089238845E-2"/>
          <c:y val="0.14181722076407116"/>
          <c:w val="0.85675072922047768"/>
          <c:h val="0.6800269757946922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'S2'!$E$4</c:f>
              <c:strCache>
                <c:ptCount val="1"/>
                <c:pt idx="0">
                  <c:v>cdf$(Mn)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'S2'!$A$5:$A$24</c:f>
              <c:numCache>
                <c:formatCode>0.00</c:formatCode>
                <c:ptCount val="20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</c:numCache>
            </c:numRef>
          </c:xVal>
          <c:yVal>
            <c:numRef>
              <c:f>'S2'!$E$5:$E$24</c:f>
              <c:numCache>
                <c:formatCode>0.0%</c:formatCode>
                <c:ptCount val="20"/>
                <c:pt idx="0">
                  <c:v>0.49108235113945375</c:v>
                </c:pt>
                <c:pt idx="1">
                  <c:v>0.47188398064120107</c:v>
                </c:pt>
                <c:pt idx="2">
                  <c:v>0.4603685222045733</c:v>
                </c:pt>
                <c:pt idx="3">
                  <c:v>0.4516195650126073</c:v>
                </c:pt>
                <c:pt idx="4">
                  <c:v>0.44431538507725765</c:v>
                </c:pt>
                <c:pt idx="5">
                  <c:v>0.43794192466118143</c:v>
                </c:pt>
                <c:pt idx="6">
                  <c:v>0.42703516655990525</c:v>
                </c:pt>
                <c:pt idx="7">
                  <c:v>0.41359750887066671</c:v>
                </c:pt>
                <c:pt idx="8">
                  <c:v>0.39575508234665741</c:v>
                </c:pt>
                <c:pt idx="9">
                  <c:v>0.38135331028751862</c:v>
                </c:pt>
                <c:pt idx="10">
                  <c:v>0.36918086928875871</c:v>
                </c:pt>
                <c:pt idx="11">
                  <c:v>0.35860474939933806</c:v>
                </c:pt>
                <c:pt idx="12">
                  <c:v>0.34924269358692128</c:v>
                </c:pt>
                <c:pt idx="13">
                  <c:v>0.34084210316365865</c:v>
                </c:pt>
                <c:pt idx="14">
                  <c:v>0.32626209464704609</c:v>
                </c:pt>
                <c:pt idx="15">
                  <c:v>0.31391980333945718</c:v>
                </c:pt>
                <c:pt idx="16">
                  <c:v>0.30324628015589183</c:v>
                </c:pt>
                <c:pt idx="17">
                  <c:v>0.29386816291566409</c:v>
                </c:pt>
                <c:pt idx="18">
                  <c:v>0.28552555896846976</c:v>
                </c:pt>
                <c:pt idx="19">
                  <c:v>0.27802958782848863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'S2'!$F$4</c:f>
              <c:strCache>
                <c:ptCount val="1"/>
                <c:pt idx="0">
                  <c:v>cdf$(Md)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'S2'!$A$5:$A$24</c:f>
              <c:numCache>
                <c:formatCode>0.00</c:formatCode>
                <c:ptCount val="20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</c:numCache>
            </c:numRef>
          </c:xVal>
          <c:yVal>
            <c:numRef>
              <c:f>'S2'!$F$5:$F$24</c:f>
              <c:numCache>
                <c:formatCode>0.0%</c:formatCode>
                <c:ptCount val="20"/>
                <c:pt idx="0">
                  <c:v>0.48216915757651668</c:v>
                </c:pt>
                <c:pt idx="1">
                  <c:v>0.44390743804127708</c:v>
                </c:pt>
                <c:pt idx="2">
                  <c:v>0.42112719136002741</c:v>
                </c:pt>
                <c:pt idx="3">
                  <c:v>0.40394803862472534</c:v>
                </c:pt>
                <c:pt idx="4">
                  <c:v>0.38971037900023509</c:v>
                </c:pt>
                <c:pt idx="5">
                  <c:v>0.37737644332000059</c:v>
                </c:pt>
                <c:pt idx="6">
                  <c:v>0.35649067999080053</c:v>
                </c:pt>
                <c:pt idx="7">
                  <c:v>0.3312003992176874</c:v>
                </c:pt>
                <c:pt idx="8">
                  <c:v>0.29850672470374073</c:v>
                </c:pt>
                <c:pt idx="9">
                  <c:v>0.27296940448232948</c:v>
                </c:pt>
                <c:pt idx="10">
                  <c:v>0.25205172210552967</c:v>
                </c:pt>
                <c:pt idx="11">
                  <c:v>0.23441578320668277</c:v>
                </c:pt>
                <c:pt idx="12">
                  <c:v>0.21924911184810736</c:v>
                </c:pt>
                <c:pt idx="13">
                  <c:v>0.20601345471462967</c:v>
                </c:pt>
                <c:pt idx="14">
                  <c:v>0.18392268742339954</c:v>
                </c:pt>
                <c:pt idx="15">
                  <c:v>0.16613798748279254</c:v>
                </c:pt>
                <c:pt idx="16">
                  <c:v>0.1514643904239395</c:v>
                </c:pt>
                <c:pt idx="17">
                  <c:v>0.1391295117833391</c:v>
                </c:pt>
                <c:pt idx="18">
                  <c:v>0.12860538719258377</c:v>
                </c:pt>
                <c:pt idx="19">
                  <c:v>0.11951594572475589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92208"/>
        <c:axId val="409589856"/>
      </c:scatterChart>
      <c:valAx>
        <c:axId val="409592208"/>
        <c:scaling>
          <c:orientation val="minMax"/>
          <c:max val="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Mean-Median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89856"/>
        <c:crosses val="autoZero"/>
        <c:crossBetween val="midCat"/>
      </c:valAx>
      <c:valAx>
        <c:axId val="409589856"/>
        <c:scaling>
          <c:orientation val="minMax"/>
          <c:max val="0.5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220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>
                <a:solidFill>
                  <a:schemeClr val="tx1"/>
                </a:solidFill>
              </a:rPr>
              <a:t>Log-Normal Balance</a:t>
            </a:r>
            <a:endParaRPr lang="en-US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33892733105331"/>
          <c:y val="0.16093302853272373"/>
          <c:w val="0.82712245817757635"/>
          <c:h val="0.6432884599102531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'S2'!$E$4</c:f>
              <c:strCache>
                <c:ptCount val="1"/>
                <c:pt idx="0">
                  <c:v>cdf$(Mn)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'S2'!$A$5:$A$24</c:f>
              <c:numCache>
                <c:formatCode>0.00</c:formatCode>
                <c:ptCount val="20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</c:numCache>
            </c:numRef>
          </c:xVal>
          <c:yVal>
            <c:numRef>
              <c:f>'S2'!$E$5:$E$24</c:f>
              <c:numCache>
                <c:formatCode>0.0%</c:formatCode>
                <c:ptCount val="20"/>
                <c:pt idx="0">
                  <c:v>0.49108235113945375</c:v>
                </c:pt>
                <c:pt idx="1">
                  <c:v>0.47188398064120107</c:v>
                </c:pt>
                <c:pt idx="2">
                  <c:v>0.4603685222045733</c:v>
                </c:pt>
                <c:pt idx="3">
                  <c:v>0.4516195650126073</c:v>
                </c:pt>
                <c:pt idx="4">
                  <c:v>0.44431538507725765</c:v>
                </c:pt>
                <c:pt idx="5">
                  <c:v>0.43794192466118143</c:v>
                </c:pt>
                <c:pt idx="6">
                  <c:v>0.42703516655990525</c:v>
                </c:pt>
                <c:pt idx="7">
                  <c:v>0.41359750887066671</c:v>
                </c:pt>
                <c:pt idx="8">
                  <c:v>0.39575508234665741</c:v>
                </c:pt>
                <c:pt idx="9">
                  <c:v>0.38135331028751862</c:v>
                </c:pt>
                <c:pt idx="10">
                  <c:v>0.36918086928875871</c:v>
                </c:pt>
                <c:pt idx="11">
                  <c:v>0.35860474939933806</c:v>
                </c:pt>
                <c:pt idx="12">
                  <c:v>0.34924269358692128</c:v>
                </c:pt>
                <c:pt idx="13">
                  <c:v>0.34084210316365865</c:v>
                </c:pt>
                <c:pt idx="14">
                  <c:v>0.32626209464704609</c:v>
                </c:pt>
                <c:pt idx="15">
                  <c:v>0.31391980333945718</c:v>
                </c:pt>
                <c:pt idx="16">
                  <c:v>0.30324628015589183</c:v>
                </c:pt>
                <c:pt idx="17">
                  <c:v>0.29386816291566409</c:v>
                </c:pt>
                <c:pt idx="18">
                  <c:v>0.28552555896846976</c:v>
                </c:pt>
                <c:pt idx="19">
                  <c:v>0.27802958782848863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'S2'!$D$4</c:f>
              <c:strCache>
                <c:ptCount val="1"/>
                <c:pt idx="0">
                  <c:v>cdf#(Mn)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'S2'!$A$5:$A$24</c:f>
              <c:numCache>
                <c:formatCode>0.00</c:formatCode>
                <c:ptCount val="20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</c:numCache>
            </c:numRef>
          </c:xVal>
          <c:yVal>
            <c:numRef>
              <c:f>'S2'!$D$5:$D$24</c:f>
              <c:numCache>
                <c:formatCode>0.0%</c:formatCode>
                <c:ptCount val="20"/>
                <c:pt idx="0">
                  <c:v>0.5089176488605367</c:v>
                </c:pt>
                <c:pt idx="1">
                  <c:v>0.52811601935879948</c:v>
                </c:pt>
                <c:pt idx="2">
                  <c:v>0.53963147779542486</c:v>
                </c:pt>
                <c:pt idx="3">
                  <c:v>0.54838043498739186</c:v>
                </c:pt>
                <c:pt idx="4">
                  <c:v>0.55568461492274202</c:v>
                </c:pt>
                <c:pt idx="5">
                  <c:v>0.56205807533881735</c:v>
                </c:pt>
                <c:pt idx="6">
                  <c:v>0.57296483344009375</c:v>
                </c:pt>
                <c:pt idx="7">
                  <c:v>0.5864024911293334</c:v>
                </c:pt>
                <c:pt idx="8">
                  <c:v>0.6042449176533421</c:v>
                </c:pt>
                <c:pt idx="9">
                  <c:v>0.61864668971248116</c:v>
                </c:pt>
                <c:pt idx="10">
                  <c:v>0.6308191307112414</c:v>
                </c:pt>
                <c:pt idx="11">
                  <c:v>0.64139525060066138</c:v>
                </c:pt>
                <c:pt idx="12">
                  <c:v>0.6507573064130785</c:v>
                </c:pt>
                <c:pt idx="13">
                  <c:v>0.65915789683634096</c:v>
                </c:pt>
                <c:pt idx="14">
                  <c:v>0.67373790535295353</c:v>
                </c:pt>
                <c:pt idx="15">
                  <c:v>0.68608019666054254</c:v>
                </c:pt>
                <c:pt idx="16">
                  <c:v>0.69675371984410828</c:v>
                </c:pt>
                <c:pt idx="17">
                  <c:v>0.70613183708433569</c:v>
                </c:pt>
                <c:pt idx="18">
                  <c:v>0.71447444103153013</c:v>
                </c:pt>
                <c:pt idx="19">
                  <c:v>0.72197041217151103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94168"/>
        <c:axId val="409595736"/>
      </c:scatterChart>
      <c:valAx>
        <c:axId val="409594168"/>
        <c:scaling>
          <c:orientation val="minMax"/>
          <c:max val="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Mean-Median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5736"/>
        <c:crosses val="autoZero"/>
        <c:crossBetween val="midCat"/>
      </c:valAx>
      <c:valAx>
        <c:axId val="409595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416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CDF#(Mean)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28258967629044E-2"/>
          <c:y val="0.18300925925925926"/>
          <c:w val="0.85398140857392824"/>
          <c:h val="0.6487343248760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'S2'!$D$4</c:f>
              <c:strCache>
                <c:ptCount val="1"/>
                <c:pt idx="0">
                  <c:v>cdf#(Mn)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780555555555551"/>
                  <c:y val="2.273148148148148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solidFill>
                          <a:schemeClr val="tx1"/>
                        </a:solidFill>
                      </a:rPr>
                      <a:t>y = 0.1677x + 0.4218</a:t>
                    </a:r>
                    <a:br>
                      <a:rPr lang="en-US" sz="1200" b="1" baseline="0">
                        <a:solidFill>
                          <a:schemeClr val="tx1"/>
                        </a:solidFill>
                      </a:rPr>
                    </a:br>
                    <a:r>
                      <a:rPr lang="en-US" sz="1200" b="1" baseline="0">
                        <a:solidFill>
                          <a:schemeClr val="tx1"/>
                        </a:solidFill>
                      </a:rPr>
                      <a:t>R² = 0.9845</a:t>
                    </a:r>
                    <a:endParaRPr lang="en-US" sz="1200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'S2'!$A$14:$A$20</c:f>
              <c:numCache>
                <c:formatCode>0.00</c:formatCode>
                <c:ptCount val="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 formatCode="0.0">
                  <c:v>1.5</c:v>
                </c:pt>
                <c:pt idx="6" formatCode="0.0">
                  <c:v>1.6</c:v>
                </c:pt>
              </c:numCache>
            </c:numRef>
          </c:xVal>
          <c:yVal>
            <c:numRef>
              <c:f>'S2'!$D$14:$D$20</c:f>
              <c:numCache>
                <c:formatCode>0.0%</c:formatCode>
                <c:ptCount val="7"/>
                <c:pt idx="0">
                  <c:v>0.61864668971248116</c:v>
                </c:pt>
                <c:pt idx="1">
                  <c:v>0.6308191307112414</c:v>
                </c:pt>
                <c:pt idx="2">
                  <c:v>0.64139525060066138</c:v>
                </c:pt>
                <c:pt idx="3">
                  <c:v>0.6507573064130785</c:v>
                </c:pt>
                <c:pt idx="4">
                  <c:v>0.65915789683634096</c:v>
                </c:pt>
                <c:pt idx="5">
                  <c:v>0.67373790535295353</c:v>
                </c:pt>
                <c:pt idx="6">
                  <c:v>0.68608019666054254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9840"/>
        <c:axId val="110313568"/>
      </c:scatterChart>
      <c:valAx>
        <c:axId val="110319840"/>
        <c:scaling>
          <c:orientation val="minMax"/>
          <c:max val="1.6"/>
          <c:min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Mean/Median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3568"/>
        <c:crosses val="autoZero"/>
        <c:crossBetween val="midCat"/>
      </c:valAx>
      <c:valAx>
        <c:axId val="110313568"/>
        <c:scaling>
          <c:orientation val="minMax"/>
          <c:max val="0.69000000000000017"/>
          <c:min val="0.61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9840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>
                <a:solidFill>
                  <a:schemeClr val="tx1"/>
                </a:solidFill>
              </a:rPr>
              <a:t>Cumulative Percentages</a:t>
            </a:r>
            <a:endParaRPr lang="en-US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47734068032747"/>
          <c:y val="0.15107648002333041"/>
          <c:w val="0.80638624943253867"/>
          <c:h val="0.6800269757946922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'S2'!$F$4</c:f>
              <c:strCache>
                <c:ptCount val="1"/>
                <c:pt idx="0">
                  <c:v>cdf$(Md)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'S2'!$A$5:$A$24</c:f>
              <c:numCache>
                <c:formatCode>0.00</c:formatCode>
                <c:ptCount val="20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</c:numCache>
            </c:numRef>
          </c:xVal>
          <c:yVal>
            <c:numRef>
              <c:f>'S2'!$F$5:$F$24</c:f>
              <c:numCache>
                <c:formatCode>0.0%</c:formatCode>
                <c:ptCount val="20"/>
                <c:pt idx="0">
                  <c:v>0.48216915757651668</c:v>
                </c:pt>
                <c:pt idx="1">
                  <c:v>0.44390743804127708</c:v>
                </c:pt>
                <c:pt idx="2">
                  <c:v>0.42112719136002741</c:v>
                </c:pt>
                <c:pt idx="3">
                  <c:v>0.40394803862472534</c:v>
                </c:pt>
                <c:pt idx="4">
                  <c:v>0.38971037900023509</c:v>
                </c:pt>
                <c:pt idx="5">
                  <c:v>0.37737644332000059</c:v>
                </c:pt>
                <c:pt idx="6">
                  <c:v>0.35649067999080053</c:v>
                </c:pt>
                <c:pt idx="7">
                  <c:v>0.3312003992176874</c:v>
                </c:pt>
                <c:pt idx="8">
                  <c:v>0.29850672470374073</c:v>
                </c:pt>
                <c:pt idx="9">
                  <c:v>0.27296940448232948</c:v>
                </c:pt>
                <c:pt idx="10">
                  <c:v>0.25205172210552967</c:v>
                </c:pt>
                <c:pt idx="11">
                  <c:v>0.23441578320668277</c:v>
                </c:pt>
                <c:pt idx="12">
                  <c:v>0.21924911184810736</c:v>
                </c:pt>
                <c:pt idx="13">
                  <c:v>0.20601345471462967</c:v>
                </c:pt>
                <c:pt idx="14">
                  <c:v>0.18392268742339954</c:v>
                </c:pt>
                <c:pt idx="15">
                  <c:v>0.16613798748279254</c:v>
                </c:pt>
                <c:pt idx="16">
                  <c:v>0.1514643904239395</c:v>
                </c:pt>
                <c:pt idx="17">
                  <c:v>0.1391295117833391</c:v>
                </c:pt>
                <c:pt idx="18">
                  <c:v>0.12860538719258377</c:v>
                </c:pt>
                <c:pt idx="19">
                  <c:v>0.11951594572475589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'S2'!$D$4</c:f>
              <c:strCache>
                <c:ptCount val="1"/>
                <c:pt idx="0">
                  <c:v>cdf#(Mn)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'S2'!$A$5:$A$24</c:f>
              <c:numCache>
                <c:formatCode>0.00</c:formatCode>
                <c:ptCount val="20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</c:numCache>
            </c:numRef>
          </c:xVal>
          <c:yVal>
            <c:numRef>
              <c:f>'S2'!$D$5:$D$24</c:f>
              <c:numCache>
                <c:formatCode>0.0%</c:formatCode>
                <c:ptCount val="20"/>
                <c:pt idx="0">
                  <c:v>0.5089176488605367</c:v>
                </c:pt>
                <c:pt idx="1">
                  <c:v>0.52811601935879948</c:v>
                </c:pt>
                <c:pt idx="2">
                  <c:v>0.53963147779542486</c:v>
                </c:pt>
                <c:pt idx="3">
                  <c:v>0.54838043498739186</c:v>
                </c:pt>
                <c:pt idx="4">
                  <c:v>0.55568461492274202</c:v>
                </c:pt>
                <c:pt idx="5">
                  <c:v>0.56205807533881735</c:v>
                </c:pt>
                <c:pt idx="6">
                  <c:v>0.57296483344009375</c:v>
                </c:pt>
                <c:pt idx="7">
                  <c:v>0.5864024911293334</c:v>
                </c:pt>
                <c:pt idx="8">
                  <c:v>0.6042449176533421</c:v>
                </c:pt>
                <c:pt idx="9">
                  <c:v>0.61864668971248116</c:v>
                </c:pt>
                <c:pt idx="10">
                  <c:v>0.6308191307112414</c:v>
                </c:pt>
                <c:pt idx="11">
                  <c:v>0.64139525060066138</c:v>
                </c:pt>
                <c:pt idx="12">
                  <c:v>0.6507573064130785</c:v>
                </c:pt>
                <c:pt idx="13">
                  <c:v>0.65915789683634096</c:v>
                </c:pt>
                <c:pt idx="14">
                  <c:v>0.67373790535295353</c:v>
                </c:pt>
                <c:pt idx="15">
                  <c:v>0.68608019666054254</c:v>
                </c:pt>
                <c:pt idx="16">
                  <c:v>0.69675371984410828</c:v>
                </c:pt>
                <c:pt idx="17">
                  <c:v>0.70613183708433569</c:v>
                </c:pt>
                <c:pt idx="18">
                  <c:v>0.71447444103153013</c:v>
                </c:pt>
                <c:pt idx="19">
                  <c:v>0.72197041217151103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6704"/>
        <c:axId val="110318272"/>
      </c:scatterChart>
      <c:valAx>
        <c:axId val="110316704"/>
        <c:scaling>
          <c:orientation val="minMax"/>
          <c:max val="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Mean-Median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8272"/>
        <c:crosses val="autoZero"/>
        <c:crossBetween val="midCat"/>
      </c:valAx>
      <c:valAx>
        <c:axId val="1103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CDF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67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CDF(Mean)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28274684227345E-2"/>
          <c:y val="0.15163686892079667"/>
          <c:w val="0.85398140857392824"/>
          <c:h val="0.6487343248760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'S2'!$D$4</c:f>
              <c:strCache>
                <c:ptCount val="1"/>
                <c:pt idx="0">
                  <c:v>cdf#(Mn)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'S2'!$A$5:$A$24</c:f>
              <c:numCache>
                <c:formatCode>0.00</c:formatCode>
                <c:ptCount val="20"/>
                <c:pt idx="0" formatCode="0.000">
                  <c:v>1.0009999999999999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1.2</c:v>
                </c:pt>
                <c:pt idx="10">
                  <c:v>1.25</c:v>
                </c:pt>
                <c:pt idx="11">
                  <c:v>1.3</c:v>
                </c:pt>
                <c:pt idx="12">
                  <c:v>1.35</c:v>
                </c:pt>
                <c:pt idx="13">
                  <c:v>1.4</c:v>
                </c:pt>
                <c:pt idx="14" formatCode="0.0">
                  <c:v>1.5</c:v>
                </c:pt>
                <c:pt idx="15" formatCode="0.0">
                  <c:v>1.6</c:v>
                </c:pt>
                <c:pt idx="16" formatCode="0.0">
                  <c:v>1.7</c:v>
                </c:pt>
                <c:pt idx="17" formatCode="0.0">
                  <c:v>1.8</c:v>
                </c:pt>
                <c:pt idx="18" formatCode="0.0">
                  <c:v>1.9</c:v>
                </c:pt>
                <c:pt idx="19" formatCode="0.0">
                  <c:v>2</c:v>
                </c:pt>
              </c:numCache>
            </c:numRef>
          </c:xVal>
          <c:yVal>
            <c:numRef>
              <c:f>'S2'!$D$5:$D$24</c:f>
              <c:numCache>
                <c:formatCode>0.0%</c:formatCode>
                <c:ptCount val="20"/>
                <c:pt idx="0">
                  <c:v>0.5089176488605367</c:v>
                </c:pt>
                <c:pt idx="1">
                  <c:v>0.52811601935879948</c:v>
                </c:pt>
                <c:pt idx="2">
                  <c:v>0.53963147779542486</c:v>
                </c:pt>
                <c:pt idx="3">
                  <c:v>0.54838043498739186</c:v>
                </c:pt>
                <c:pt idx="4">
                  <c:v>0.55568461492274202</c:v>
                </c:pt>
                <c:pt idx="5">
                  <c:v>0.56205807533881735</c:v>
                </c:pt>
                <c:pt idx="6">
                  <c:v>0.57296483344009375</c:v>
                </c:pt>
                <c:pt idx="7">
                  <c:v>0.5864024911293334</c:v>
                </c:pt>
                <c:pt idx="8">
                  <c:v>0.6042449176533421</c:v>
                </c:pt>
                <c:pt idx="9">
                  <c:v>0.61864668971248116</c:v>
                </c:pt>
                <c:pt idx="10">
                  <c:v>0.6308191307112414</c:v>
                </c:pt>
                <c:pt idx="11">
                  <c:v>0.64139525060066138</c:v>
                </c:pt>
                <c:pt idx="12">
                  <c:v>0.6507573064130785</c:v>
                </c:pt>
                <c:pt idx="13">
                  <c:v>0.65915789683634096</c:v>
                </c:pt>
                <c:pt idx="14">
                  <c:v>0.67373790535295353</c:v>
                </c:pt>
                <c:pt idx="15">
                  <c:v>0.68608019666054254</c:v>
                </c:pt>
                <c:pt idx="16">
                  <c:v>0.69675371984410828</c:v>
                </c:pt>
                <c:pt idx="17">
                  <c:v>0.70613183708433569</c:v>
                </c:pt>
                <c:pt idx="18">
                  <c:v>0.71447444103153013</c:v>
                </c:pt>
                <c:pt idx="19">
                  <c:v>0.72197041217151103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9056"/>
        <c:axId val="110318664"/>
      </c:scatterChart>
      <c:valAx>
        <c:axId val="110319056"/>
        <c:scaling>
          <c:orientation val="minMax"/>
          <c:max val="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Mean/Median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8664"/>
        <c:crosses val="autoZero"/>
        <c:crossBetween val="midCat"/>
      </c:valAx>
      <c:valAx>
        <c:axId val="110318664"/>
        <c:scaling>
          <c:orientation val="minMax"/>
          <c:max val="0.7500000000000001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9056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CDF$(Median)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28258967629044E-2"/>
          <c:y val="0.18300925925925926"/>
          <c:w val="0.85398140857392824"/>
          <c:h val="0.6487343248760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'S2'!$F$4</c:f>
              <c:strCache>
                <c:ptCount val="1"/>
                <c:pt idx="0">
                  <c:v>cdf$(Md)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277077865266841"/>
                  <c:y val="-2.974846894138232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chemeClr val="tx1"/>
                        </a:solidFill>
                      </a:rPr>
                      <a:t>y = -0.2651x + 0.5822</a:t>
                    </a:r>
                    <a:br>
                      <a:rPr lang="en-US" sz="1100" b="1" baseline="0">
                        <a:solidFill>
                          <a:schemeClr val="tx1"/>
                        </a:solidFill>
                      </a:rPr>
                    </a:br>
                    <a:r>
                      <a:rPr lang="en-US" sz="1100" b="1" baseline="0">
                        <a:solidFill>
                          <a:schemeClr val="tx1"/>
                        </a:solidFill>
                      </a:rPr>
                      <a:t>R² = 0.9755</a:t>
                    </a:r>
                    <a:endParaRPr lang="en-US" sz="1100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'S2'!$A$14:$A$20</c:f>
              <c:numCache>
                <c:formatCode>0.00</c:formatCode>
                <c:ptCount val="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 formatCode="0.0">
                  <c:v>1.5</c:v>
                </c:pt>
                <c:pt idx="6" formatCode="0.0">
                  <c:v>1.6</c:v>
                </c:pt>
              </c:numCache>
            </c:numRef>
          </c:xVal>
          <c:yVal>
            <c:numRef>
              <c:f>'S2'!$F$14:$F$20</c:f>
              <c:numCache>
                <c:formatCode>0.0%</c:formatCode>
                <c:ptCount val="7"/>
                <c:pt idx="0">
                  <c:v>0.27296940448232948</c:v>
                </c:pt>
                <c:pt idx="1">
                  <c:v>0.25205172210552967</c:v>
                </c:pt>
                <c:pt idx="2">
                  <c:v>0.23441578320668277</c:v>
                </c:pt>
                <c:pt idx="3">
                  <c:v>0.21924911184810736</c:v>
                </c:pt>
                <c:pt idx="4">
                  <c:v>0.20601345471462967</c:v>
                </c:pt>
                <c:pt idx="5">
                  <c:v>0.18392268742339954</c:v>
                </c:pt>
                <c:pt idx="6">
                  <c:v>0.16613798748279254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7488"/>
        <c:axId val="110320624"/>
      </c:scatterChart>
      <c:valAx>
        <c:axId val="110317488"/>
        <c:scaling>
          <c:orientation val="minMax"/>
          <c:max val="1.6"/>
          <c:min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Mean/Median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20624"/>
        <c:crosses val="autoZero"/>
        <c:crossBetween val="midCat"/>
      </c:valAx>
      <c:valAx>
        <c:axId val="110320624"/>
        <c:scaling>
          <c:orientation val="minMax"/>
          <c:max val="0.30000000000000004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7488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>
                <a:solidFill>
                  <a:schemeClr val="tx1"/>
                </a:solidFill>
              </a:rPr>
              <a:t>Gini Coefficient versus Mean/Median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52693563005223"/>
          <c:y val="3.0418250950570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48456891990296"/>
          <c:y val="0.1451585281877788"/>
          <c:w val="0.86150156380153076"/>
          <c:h val="0.6850992485254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'S2'!$G$4</c:f>
              <c:strCache>
                <c:ptCount val="1"/>
                <c:pt idx="0">
                  <c:v>Gini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139065700619757"/>
                  <c:y val="0.265487859644920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'S2'!$A$14:$A$20</c:f>
              <c:numCache>
                <c:formatCode>0.00</c:formatCode>
                <c:ptCount val="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 formatCode="0.0">
                  <c:v>1.5</c:v>
                </c:pt>
                <c:pt idx="6" formatCode="0.0">
                  <c:v>1.6</c:v>
                </c:pt>
              </c:numCache>
            </c:numRef>
          </c:xVal>
          <c:yVal>
            <c:numRef>
              <c:f>'S2'!$G$14:$G$20</c:f>
              <c:numCache>
                <c:formatCode>0.0%</c:formatCode>
                <c:ptCount val="7"/>
                <c:pt idx="0">
                  <c:v>0.33061432403862678</c:v>
                </c:pt>
                <c:pt idx="1">
                  <c:v>0.36334494158262909</c:v>
                </c:pt>
                <c:pt idx="2">
                  <c:v>0.39149949358334757</c:v>
                </c:pt>
                <c:pt idx="3">
                  <c:v>0.41618314186463534</c:v>
                </c:pt>
                <c:pt idx="4">
                  <c:v>0.43812737356949305</c:v>
                </c:pt>
                <c:pt idx="5">
                  <c:v>0.47571974157073837</c:v>
                </c:pt>
                <c:pt idx="6" formatCode="0.00%">
                  <c:v>0.50701450107249579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7880"/>
        <c:axId val="110314744"/>
      </c:scatterChart>
      <c:valAx>
        <c:axId val="110317880"/>
        <c:scaling>
          <c:orientation val="minMax"/>
          <c:max val="1.6"/>
          <c:min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Mean-Median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4744"/>
        <c:crosses val="autoZero"/>
        <c:crossBetween val="midCat"/>
      </c:valAx>
      <c:valAx>
        <c:axId val="110314744"/>
        <c:scaling>
          <c:orientation val="minMax"/>
          <c:max val="0.55000000000000004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1788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0</xdr:row>
      <xdr:rowOff>38100</xdr:rowOff>
    </xdr:from>
    <xdr:to>
      <xdr:col>18</xdr:col>
      <xdr:colOff>600075</xdr:colOff>
      <xdr:row>17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104775</xdr:colOff>
      <xdr:row>50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0.57276</cdr:x>
      <cdr:y>0.38657</cdr:y>
    </cdr:from>
    <cdr:to>
      <cdr:x>0.97061</cdr:x>
      <cdr:y>0.4838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6825" y="1060450"/>
          <a:ext cx="1762124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Log-normal distribution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0.90127</cdr:y>
    </cdr:from>
    <cdr:to>
      <cdr:x>0.24285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2257741"/>
          <a:ext cx="1158875" cy="247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Log-Normal Dist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0.52083</cdr:x>
      <cdr:y>0.70254</cdr:y>
    </cdr:from>
    <cdr:to>
      <cdr:x>0.66666</cdr:x>
      <cdr:y>0.79282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81250" y="1927214"/>
          <a:ext cx="66673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1-Gini</a:t>
          </a:r>
        </a:p>
      </cdr:txBody>
    </cdr:sp>
  </cdr:relSizeAnchor>
  <cdr:relSizeAnchor xmlns:cdr="http://schemas.openxmlformats.org/drawingml/2006/chartDrawing">
    <cdr:from>
      <cdr:x>0.06736</cdr:x>
      <cdr:y>0.45949</cdr:y>
    </cdr:from>
    <cdr:to>
      <cdr:x>0.22778</cdr:x>
      <cdr:y>0.54977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7970" y="1260482"/>
          <a:ext cx="733440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rsBelow</a:t>
          </a:r>
        </a:p>
      </cdr:txBody>
    </cdr:sp>
  </cdr:relSizeAnchor>
  <cdr:relSizeAnchor xmlns:cdr="http://schemas.openxmlformats.org/drawingml/2006/chartDrawing">
    <cdr:from>
      <cdr:x>0.16528</cdr:x>
      <cdr:y>0.31713</cdr:y>
    </cdr:from>
    <cdr:to>
      <cdr:x>0.32569</cdr:x>
      <cdr:y>0.40741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55650" y="869950"/>
          <a:ext cx="73339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1-Gini</a:t>
          </a:r>
        </a:p>
      </cdr:txBody>
    </cdr:sp>
  </cdr:relSizeAnchor>
  <cdr:relSizeAnchor xmlns:cdr="http://schemas.openxmlformats.org/drawingml/2006/chartDrawing">
    <cdr:from>
      <cdr:x>0.72569</cdr:x>
      <cdr:y>0.62615</cdr:y>
    </cdr:from>
    <cdr:to>
      <cdr:x>0.88611</cdr:x>
      <cdr:y>0.71643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317855" y="1717667"/>
          <a:ext cx="733440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rsBelow</a:t>
          </a:r>
        </a:p>
      </cdr:txBody>
    </cdr:sp>
  </cdr:relSizeAnchor>
  <cdr:relSizeAnchor xmlns:cdr="http://schemas.openxmlformats.org/drawingml/2006/chartDrawing">
    <cdr:from>
      <cdr:x>0</cdr:x>
      <cdr:y>0.90972</cdr:y>
    </cdr:from>
    <cdr:to>
      <cdr:x>0.37708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2495544"/>
          <a:ext cx="172402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Lognormal distribution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0.25833</cdr:x>
      <cdr:y>0.16667</cdr:y>
    </cdr:from>
    <cdr:to>
      <cdr:x>0.67292</cdr:x>
      <cdr:y>0.32986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81085" y="457209"/>
          <a:ext cx="1895490" cy="4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PDF of Households (HH)</a:t>
          </a:r>
          <a:b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by HH income</a:t>
          </a:r>
        </a:p>
      </cdr:txBody>
    </cdr:sp>
  </cdr:relSizeAnchor>
  <cdr:relSizeAnchor xmlns:cdr="http://schemas.openxmlformats.org/drawingml/2006/chartDrawing">
    <cdr:from>
      <cdr:x>0.36111</cdr:x>
      <cdr:y>0.60532</cdr:y>
    </cdr:from>
    <cdr:to>
      <cdr:x>0.51458</cdr:x>
      <cdr:y>0.69907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51000" y="1660525"/>
          <a:ext cx="7016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Average </a:t>
          </a:r>
          <a:b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income</a:t>
          </a:r>
        </a:p>
      </cdr:txBody>
    </cdr:sp>
  </cdr:relSizeAnchor>
  <cdr:relSizeAnchor xmlns:cdr="http://schemas.openxmlformats.org/drawingml/2006/chartDrawing">
    <cdr:from>
      <cdr:x>0.57917</cdr:x>
      <cdr:y>0.48727</cdr:y>
    </cdr:from>
    <cdr:to>
      <cdr:x>0.89375</cdr:x>
      <cdr:y>0.66319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47965" y="1336679"/>
          <a:ext cx="1438260" cy="48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PDF of Total Income</a:t>
          </a:r>
        </a:p>
        <a:p xmlns:a="http://schemas.openxmlformats.org/drawingml/2006/main">
          <a:r>
            <a:rPr lang="en-US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by HH income</a:t>
          </a:r>
        </a:p>
      </cdr:txBody>
    </cdr:sp>
  </cdr:relSizeAnchor>
  <cdr:relSizeAnchor xmlns:cdr="http://schemas.openxmlformats.org/drawingml/2006/chartDrawing">
    <cdr:from>
      <cdr:x>0</cdr:x>
      <cdr:y>0.90625</cdr:y>
    </cdr:from>
    <cdr:to>
      <cdr:x>0.2625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2486025"/>
          <a:ext cx="12001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Mean=80k</a:t>
          </a:r>
        </a:p>
      </cdr:txBody>
    </cdr:sp>
  </cdr:relSizeAnchor>
  <cdr:relSizeAnchor xmlns:cdr="http://schemas.openxmlformats.org/drawingml/2006/chartDrawing">
    <cdr:from>
      <cdr:x>0.80208</cdr:x>
      <cdr:y>0.90625</cdr:y>
    </cdr:from>
    <cdr:to>
      <cdr:x>1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667126" y="2486025"/>
          <a:ext cx="904874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Median=50k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0.13958</cdr:x>
      <cdr:y>0.13962</cdr:y>
    </cdr:from>
    <cdr:to>
      <cdr:x>0.95833</cdr:x>
      <cdr:y>0.87555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38175" y="704850"/>
          <a:ext cx="3743310" cy="371514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0.00625</cdr:x>
      <cdr:y>0.94939</cdr:y>
    </cdr:from>
    <cdr:to>
      <cdr:x>0.20625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8575" y="44672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Mean</a:t>
          </a:r>
          <a:r>
            <a:rPr lang="en-US" sz="1100" b="1" baseline="0">
              <a:solidFill>
                <a:schemeClr val="tx1"/>
              </a:solidFill>
            </a:rPr>
            <a:t> = 80K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0.775</cdr:x>
      <cdr:y>0.94939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43300" y="4467220"/>
          <a:ext cx="1028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Median</a:t>
          </a:r>
          <a:r>
            <a:rPr lang="en-US" sz="1100" b="1" baseline="0">
              <a:solidFill>
                <a:schemeClr val="tx1"/>
              </a:solidFill>
            </a:rPr>
            <a:t> = 50K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0.69375</cdr:x>
      <cdr:y>0.54475</cdr:y>
    </cdr:from>
    <cdr:to>
      <cdr:x>0.69792</cdr:x>
      <cdr:y>0.87743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3171810" y="2750034"/>
          <a:ext cx="19065" cy="167945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0.58819</cdr:x>
      <cdr:y>0.45201</cdr:y>
    </cdr:from>
    <cdr:to>
      <cdr:x>0.78333</cdr:x>
      <cdr:y>0.54086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689224" y="2212975"/>
          <a:ext cx="892176" cy="434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CDF(Mean)</a:t>
          </a:r>
          <a:r>
            <a:rPr lang="en-US" sz="1100" b="1" baseline="0">
              <a:solidFill>
                <a:schemeClr val="tx1"/>
              </a:solidFill>
            </a:rPr>
            <a:t> </a:t>
          </a:r>
        </a:p>
        <a:p xmlns:a="http://schemas.openxmlformats.org/drawingml/2006/main">
          <a:pPr algn="ctr"/>
          <a:r>
            <a:rPr lang="en-US" sz="1100" b="1" baseline="0">
              <a:solidFill>
                <a:schemeClr val="tx1"/>
              </a:solidFill>
            </a:rPr>
            <a:t>= 0.686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0.15694</cdr:x>
      <cdr:y>0.59014</cdr:y>
    </cdr:from>
    <cdr:to>
      <cdr:x>0.47292</cdr:x>
      <cdr:y>0.64075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717550" y="2889250"/>
          <a:ext cx="1444626" cy="247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CDF1(Mean)</a:t>
          </a:r>
          <a:r>
            <a:rPr lang="en-US" sz="1100" b="1" baseline="0">
              <a:solidFill>
                <a:schemeClr val="tx1"/>
              </a:solidFill>
            </a:rPr>
            <a:t> = 0.314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0.13333</cdr:x>
      <cdr:y>0.64202</cdr:y>
    </cdr:from>
    <cdr:to>
      <cdr:x>0.78958</cdr:x>
      <cdr:y>0.64202</cdr:y>
    </cdr:to>
    <cdr:cxnSp macro="">
      <cdr:nvCxnSpPr>
        <cdr:cNvPr id="16" name="Straight Connector 15"/>
        <cdr:cNvCxnSpPr/>
      </cdr:nvCxnSpPr>
      <cdr:spPr>
        <a:xfrm xmlns:a="http://schemas.openxmlformats.org/drawingml/2006/main">
          <a:off x="609585" y="3241077"/>
          <a:ext cx="300037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56</xdr:row>
      <xdr:rowOff>57149</xdr:rowOff>
    </xdr:from>
    <xdr:to>
      <xdr:col>9</xdr:col>
      <xdr:colOff>457200</xdr:colOff>
      <xdr:row>71</xdr:row>
      <xdr:rowOff>119061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93</xdr:row>
      <xdr:rowOff>19050</xdr:rowOff>
    </xdr:from>
    <xdr:to>
      <xdr:col>10</xdr:col>
      <xdr:colOff>85725</xdr:colOff>
      <xdr:row>107</xdr:row>
      <xdr:rowOff>114300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200025</xdr:colOff>
      <xdr:row>55</xdr:row>
      <xdr:rowOff>142875</xdr:rowOff>
    </xdr:from>
    <xdr:to>
      <xdr:col>20</xdr:col>
      <xdr:colOff>400050</xdr:colOff>
      <xdr:row>72</xdr:row>
      <xdr:rowOff>133350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74</xdr:row>
      <xdr:rowOff>152400</xdr:rowOff>
    </xdr:from>
    <xdr:to>
      <xdr:col>10</xdr:col>
      <xdr:colOff>19050</xdr:colOff>
      <xdr:row>91</xdr:row>
      <xdr:rowOff>142875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190500</xdr:colOff>
      <xdr:row>1</xdr:row>
      <xdr:rowOff>28574</xdr:rowOff>
    </xdr:from>
    <xdr:to>
      <xdr:col>20</xdr:col>
      <xdr:colOff>619125</xdr:colOff>
      <xdr:row>16</xdr:row>
      <xdr:rowOff>28574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219075</xdr:colOff>
      <xdr:row>73</xdr:row>
      <xdr:rowOff>95250</xdr:rowOff>
    </xdr:from>
    <xdr:to>
      <xdr:col>20</xdr:col>
      <xdr:colOff>266700</xdr:colOff>
      <xdr:row>90</xdr:row>
      <xdr:rowOff>85725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76200</xdr:colOff>
      <xdr:row>93</xdr:row>
      <xdr:rowOff>85725</xdr:rowOff>
    </xdr:from>
    <xdr:to>
      <xdr:col>20</xdr:col>
      <xdr:colOff>457200</xdr:colOff>
      <xdr:row>109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342900</xdr:colOff>
      <xdr:row>16</xdr:row>
      <xdr:rowOff>123825</xdr:rowOff>
    </xdr:from>
    <xdr:to>
      <xdr:col>20</xdr:col>
      <xdr:colOff>447675</xdr:colOff>
      <xdr:row>33</xdr:row>
      <xdr:rowOff>114300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0.1358</cdr:x>
      <cdr:y>0.67477</cdr:y>
    </cdr:from>
    <cdr:to>
      <cdr:x>0.88689</cdr:x>
      <cdr:y>0.83507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0617" y="1851026"/>
          <a:ext cx="3598529" cy="43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total income 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that is earned by subjects with below-median income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0.38767</cdr:x>
      <cdr:y>0.22338</cdr:y>
    </cdr:from>
    <cdr:to>
      <cdr:x>0.9728</cdr:x>
      <cdr:y>0.38368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65041" y="556392"/>
          <a:ext cx="2664083" cy="399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total income that is earned 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by subjects with below-average income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0.55354</cdr:x>
      <cdr:y>0.15496</cdr:y>
    </cdr:from>
    <cdr:to>
      <cdr:x>0.97872</cdr:x>
      <cdr:y>0.3629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8060" y="366047"/>
          <a:ext cx="1903440" cy="491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subjects that 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have below-average Incomes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0.10303</cdr:x>
      <cdr:y>0.60069</cdr:y>
    </cdr:from>
    <cdr:to>
      <cdr:x>0.48889</cdr:x>
      <cdr:y>0.73785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5776" y="1418960"/>
          <a:ext cx="1819274" cy="323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income 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that is below-average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0.11582</cdr:x>
      <cdr:y>0.18642</cdr:y>
    </cdr:from>
    <cdr:to>
      <cdr:x>0.44242</cdr:x>
      <cdr:y>0.35656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6100" y="440355"/>
          <a:ext cx="1539875" cy="401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income 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</a:rPr>
            <a:t>that is above-average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0.5234</cdr:x>
      <cdr:y>0.63221</cdr:y>
    </cdr:from>
    <cdr:to>
      <cdr:x>0.96431</cdr:x>
      <cdr:y>0.78629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43150" y="1493406"/>
          <a:ext cx="1973825" cy="363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subjects that have above-average incomes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0.58819</cdr:x>
      <cdr:y>0.58102</cdr:y>
    </cdr:from>
    <cdr:to>
      <cdr:x>0.97361</cdr:x>
      <cdr:y>0.67824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89225" y="1593850"/>
          <a:ext cx="1762124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Log-normal distribution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0.51875</cdr:x>
      <cdr:y>0.26562</cdr:y>
    </cdr:from>
    <cdr:to>
      <cdr:x>0.99792</cdr:x>
      <cdr:y>0.43576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71725" y="728662"/>
          <a:ext cx="21907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Subjects that 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have below-average Incomes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0.16477</cdr:x>
      <cdr:y>0.65394</cdr:y>
    </cdr:from>
    <cdr:to>
      <cdr:x>0.90377</cdr:x>
      <cdr:y>0.81424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0190" y="1793888"/>
          <a:ext cx="3364610" cy="43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Percentage of</a:t>
          </a:r>
          <a:r>
            <a:rPr lang="en-US" sz="1100" b="1" baseline="0">
              <a:solidFill>
                <a:schemeClr val="tx1"/>
              </a:solidFill>
            </a:rPr>
            <a:t> total income 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that is earned by subjects with below-median income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0.14923</cdr:x>
      <cdr:y>0.1331</cdr:y>
    </cdr:from>
    <cdr:to>
      <cdr:x>0.53626</cdr:x>
      <cdr:y>0.23032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79450" y="365125"/>
          <a:ext cx="1762124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Log-normal distribution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0.91373</cdr:y>
    </cdr:from>
    <cdr:to>
      <cdr:x>0.38542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19325"/>
          <a:ext cx="1886959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Log-normal distribution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tabSelected="1" view="pageLayout" zoomScaleNormal="100" workbookViewId="0">
      <selection activeCell="L1" sqref="L1"/>
    </sheetView>
  </sheetViews>
  <sheetFormatPr defaultColWidth="9.140625" defaultRowHeight="12.75" x14ac:dyDescent="0.2"/>
  <cols>
    <col min="1" max="1" width="8" style="25" customWidth="1"/>
    <col min="2" max="2" width="10" style="25" bestFit="1" customWidth="1"/>
    <col min="3" max="9" width="8.85546875" style="25" customWidth="1"/>
    <col min="10" max="10" width="6.5703125" style="25" customWidth="1"/>
    <col min="11" max="11" width="3.85546875" style="25" customWidth="1"/>
    <col min="12" max="16384" width="9.140625" style="25"/>
  </cols>
  <sheetData>
    <row r="1" spans="1:11" ht="12.75" customHeight="1" x14ac:dyDescent="0.2">
      <c r="A1" s="22" t="s">
        <v>10</v>
      </c>
      <c r="B1" s="23" t="s">
        <v>11</v>
      </c>
      <c r="C1" s="23" t="s">
        <v>12</v>
      </c>
      <c r="D1" s="23" t="s">
        <v>13</v>
      </c>
      <c r="E1" s="23" t="s">
        <v>14</v>
      </c>
      <c r="F1" s="23" t="s">
        <v>15</v>
      </c>
      <c r="G1" s="23" t="s">
        <v>16</v>
      </c>
      <c r="H1" s="23" t="s">
        <v>17</v>
      </c>
      <c r="I1" s="23" t="s">
        <v>18</v>
      </c>
      <c r="J1" s="24" t="s">
        <v>84</v>
      </c>
      <c r="K1" s="25">
        <v>1</v>
      </c>
    </row>
    <row r="2" spans="1:11" ht="12.75" customHeight="1" x14ac:dyDescent="0.2">
      <c r="A2" s="25" t="s">
        <v>19</v>
      </c>
      <c r="J2" s="22"/>
      <c r="K2" s="25">
        <f>K1+1</f>
        <v>2</v>
      </c>
    </row>
    <row r="3" spans="1:11" ht="12.75" customHeight="1" thickBot="1" x14ac:dyDescent="0.25">
      <c r="A3" s="93"/>
      <c r="B3" s="28" t="s">
        <v>87</v>
      </c>
      <c r="C3" s="28"/>
      <c r="D3" s="28"/>
      <c r="G3" s="28" t="s">
        <v>21</v>
      </c>
      <c r="K3" s="25">
        <f t="shared" ref="K3:K64" si="0">K2+1</f>
        <v>3</v>
      </c>
    </row>
    <row r="4" spans="1:11" ht="12.75" customHeight="1" thickBot="1" x14ac:dyDescent="0.25">
      <c r="A4" s="147"/>
      <c r="B4" s="24" t="s">
        <v>93</v>
      </c>
      <c r="C4" s="38">
        <v>50</v>
      </c>
      <c r="D4" s="31" t="s">
        <v>26</v>
      </c>
      <c r="G4" s="142" t="s">
        <v>108</v>
      </c>
      <c r="H4" s="32">
        <f>LN(C4)</f>
        <v>3.912023005428146</v>
      </c>
      <c r="I4" s="33" t="str">
        <f ca="1">_xlfn.FORMULATEXT(H4)</f>
        <v>=LN(C4)</v>
      </c>
      <c r="K4" s="25">
        <f t="shared" si="0"/>
        <v>4</v>
      </c>
    </row>
    <row r="5" spans="1:11" ht="12.75" customHeight="1" thickBot="1" x14ac:dyDescent="0.25">
      <c r="A5" s="147"/>
      <c r="B5" s="24" t="s">
        <v>94</v>
      </c>
      <c r="C5" s="38">
        <v>80</v>
      </c>
      <c r="D5" s="31" t="s">
        <v>36</v>
      </c>
      <c r="G5" s="143" t="s">
        <v>37</v>
      </c>
      <c r="H5" s="39">
        <f>LN(C5)</f>
        <v>4.3820266346738812</v>
      </c>
      <c r="I5" s="33" t="str">
        <f ca="1">_xlfn.FORMULATEXT(H5)</f>
        <v>=LN(C5)</v>
      </c>
      <c r="K5" s="25">
        <f t="shared" si="0"/>
        <v>5</v>
      </c>
    </row>
    <row r="6" spans="1:11" ht="12.75" customHeight="1" thickBot="1" x14ac:dyDescent="0.25">
      <c r="G6" s="143" t="s">
        <v>76</v>
      </c>
      <c r="H6" s="39">
        <f>2*(H5-H4)</f>
        <v>0.94000725849147049</v>
      </c>
      <c r="I6" s="33" t="str">
        <f ca="1">_xlfn.FORMULATEXT(H6)</f>
        <v>=2*(H5-H4)</v>
      </c>
      <c r="K6" s="25">
        <f t="shared" si="0"/>
        <v>6</v>
      </c>
    </row>
    <row r="7" spans="1:11" ht="12.75" customHeight="1" thickBot="1" x14ac:dyDescent="0.25">
      <c r="B7" s="24" t="s">
        <v>91</v>
      </c>
      <c r="C7" s="49">
        <f>EXP(H4-H6)</f>
        <v>19.531250000000011</v>
      </c>
      <c r="D7" s="33" t="str">
        <f ca="1">_xlfn.FORMULATEXT(C7)</f>
        <v>=EXP(H4-H6)</v>
      </c>
      <c r="G7" s="144" t="s">
        <v>77</v>
      </c>
      <c r="H7" s="51">
        <f>SQRT(H6)</f>
        <v>0.9695397147571988</v>
      </c>
      <c r="I7" s="33" t="str">
        <f ca="1">_xlfn.FORMULATEXT(H7)</f>
        <v>=SQRT(H6)</v>
      </c>
      <c r="K7" s="25">
        <f t="shared" si="0"/>
        <v>7</v>
      </c>
    </row>
    <row r="8" spans="1:11" ht="12.75" customHeight="1" x14ac:dyDescent="0.2">
      <c r="B8" s="52" t="s">
        <v>90</v>
      </c>
      <c r="C8" s="53">
        <f>_xlfn.LOGNORM.DIST(C7,H$4,H$7,0)</f>
        <v>1.316723057192438E-2</v>
      </c>
      <c r="D8" s="33" t="str">
        <f ca="1">_xlfn.FORMULATEXT(C8)</f>
        <v>=LOGNORM.DIST(C7,H$4,H$7,0)</v>
      </c>
      <c r="F8" s="54"/>
      <c r="G8" s="55"/>
      <c r="H8" s="56"/>
      <c r="K8" s="25">
        <f t="shared" si="0"/>
        <v>8</v>
      </c>
    </row>
    <row r="9" spans="1:11" ht="12.75" customHeight="1" x14ac:dyDescent="0.2">
      <c r="B9" s="52" t="s">
        <v>89</v>
      </c>
      <c r="C9" s="57">
        <f>SQRT((EXP($H$6)-1)*EXP(2*$H$4+$H$6))</f>
        <v>99.919967974374273</v>
      </c>
      <c r="D9" s="33" t="str">
        <f ca="1">_xlfn.FORMULATEXT(C9)</f>
        <v>=SQRT((EXP($H$6)-1)*EXP(2*$H$4+$H$6))</v>
      </c>
      <c r="H9" s="141"/>
      <c r="I9" s="30"/>
      <c r="K9" s="25">
        <f t="shared" si="0"/>
        <v>9</v>
      </c>
    </row>
    <row r="10" spans="1:11" ht="12.75" customHeight="1" x14ac:dyDescent="0.2">
      <c r="B10" s="52" t="s">
        <v>134</v>
      </c>
      <c r="C10" s="59">
        <f>_xlfn.NORM.S.DIST(SQRT(LN(C5/C4)/2), 1)</f>
        <v>0.68608019666054254</v>
      </c>
      <c r="D10" s="33" t="str">
        <f ca="1">_xlfn.FORMULATEXT(C10)</f>
        <v>=NORM.S.DIST(SQRT(LN(C5/C4)/2), 1)</v>
      </c>
      <c r="H10" s="122"/>
      <c r="I10" s="30" t="s">
        <v>43</v>
      </c>
      <c r="K10" s="25">
        <f t="shared" si="0"/>
        <v>10</v>
      </c>
    </row>
    <row r="11" spans="1:11" ht="12.75" customHeight="1" thickBot="1" x14ac:dyDescent="0.25">
      <c r="B11" s="52" t="s">
        <v>92</v>
      </c>
      <c r="C11" s="61">
        <f>2*_xlfn.NORM.S.DIST(H7/SQRT(2),1) - 1</f>
        <v>0.50701450107249579</v>
      </c>
      <c r="D11" s="25" t="str">
        <f ca="1">_xlfn.FORMULATEXT(C11)</f>
        <v>=2*NORM.S.DIST(H7/SQRT(2),1) - 1</v>
      </c>
      <c r="H11" s="153">
        <f>(C11+1)/2</f>
        <v>0.7535072505362479</v>
      </c>
      <c r="I11" s="33" t="s">
        <v>86</v>
      </c>
      <c r="J11" s="148"/>
      <c r="K11" s="25">
        <f t="shared" si="0"/>
        <v>11</v>
      </c>
    </row>
    <row r="12" spans="1:11" ht="12.75" customHeight="1" x14ac:dyDescent="0.2">
      <c r="A12" s="63"/>
      <c r="B12" s="64"/>
      <c r="C12" s="65"/>
      <c r="D12" s="66"/>
      <c r="E12" s="64"/>
      <c r="F12" s="64"/>
      <c r="G12" s="64"/>
      <c r="H12" s="64"/>
      <c r="I12" s="64"/>
      <c r="J12" s="64"/>
      <c r="K12" s="25">
        <f t="shared" si="0"/>
        <v>12</v>
      </c>
    </row>
    <row r="13" spans="1:11" ht="12.75" customHeight="1" x14ac:dyDescent="0.2">
      <c r="A13" s="54" t="s">
        <v>106</v>
      </c>
      <c r="C13" s="67"/>
      <c r="D13" s="33"/>
      <c r="K13" s="25">
        <f t="shared" si="0"/>
        <v>13</v>
      </c>
    </row>
    <row r="14" spans="1:11" ht="12.75" customHeight="1" x14ac:dyDescent="0.2">
      <c r="A14" s="54"/>
      <c r="B14" s="30" t="s">
        <v>65</v>
      </c>
      <c r="C14" s="67"/>
      <c r="D14" s="33"/>
      <c r="K14" s="25">
        <f t="shared" si="0"/>
        <v>14</v>
      </c>
    </row>
    <row r="15" spans="1:11" ht="12.75" customHeight="1" x14ac:dyDescent="0.2">
      <c r="A15" s="54"/>
      <c r="B15" s="30" t="s">
        <v>45</v>
      </c>
      <c r="C15" s="67"/>
      <c r="D15" s="33"/>
      <c r="K15" s="25">
        <f t="shared" si="0"/>
        <v>15</v>
      </c>
    </row>
    <row r="16" spans="1:11" ht="12.75" customHeight="1" thickBot="1" x14ac:dyDescent="0.25">
      <c r="A16" s="93"/>
      <c r="D16" s="91" t="s">
        <v>88</v>
      </c>
      <c r="G16" s="28" t="s">
        <v>46</v>
      </c>
      <c r="K16" s="25">
        <f t="shared" si="0"/>
        <v>16</v>
      </c>
    </row>
    <row r="17" spans="1:14" ht="12.75" customHeight="1" thickBot="1" x14ac:dyDescent="0.25">
      <c r="A17" s="147"/>
      <c r="B17" s="24" t="s">
        <v>93</v>
      </c>
      <c r="C17" s="73">
        <f>EXP(H17)</f>
        <v>127.99999999999986</v>
      </c>
      <c r="D17" s="33" t="str">
        <f ca="1">_xlfn.FORMULATEXT(C17)</f>
        <v>=EXP(H17)</v>
      </c>
      <c r="G17" s="142" t="s">
        <v>107</v>
      </c>
      <c r="H17" s="74">
        <f>H4+H6</f>
        <v>4.852030263919616</v>
      </c>
      <c r="I17" s="75" t="str">
        <f ca="1">_xlfn.FORMULATEXT(H17)</f>
        <v>=H4+H6</v>
      </c>
      <c r="K17" s="25">
        <f t="shared" si="0"/>
        <v>17</v>
      </c>
    </row>
    <row r="18" spans="1:14" ht="12.75" customHeight="1" thickBot="1" x14ac:dyDescent="0.3">
      <c r="A18" s="147"/>
      <c r="B18" s="24" t="s">
        <v>94</v>
      </c>
      <c r="C18" s="77">
        <f>EXP(H18)</f>
        <v>204.79999999999961</v>
      </c>
      <c r="D18" s="31" t="s">
        <v>36</v>
      </c>
      <c r="G18" s="143" t="s">
        <v>37</v>
      </c>
      <c r="H18" s="39">
        <f>H17+H19/2</f>
        <v>5.3220338931653508</v>
      </c>
      <c r="I18" s="33" t="str">
        <f ca="1">_xlfn.FORMULATEXT(H18)</f>
        <v>=H17+H19/2</v>
      </c>
      <c r="K18" s="25">
        <f t="shared" si="0"/>
        <v>18</v>
      </c>
    </row>
    <row r="19" spans="1:14" ht="12.75" customHeight="1" thickBot="1" x14ac:dyDescent="0.25">
      <c r="A19" s="147"/>
      <c r="G19" s="143" t="s">
        <v>38</v>
      </c>
      <c r="H19" s="39">
        <f>H20^2</f>
        <v>0.94000725849147038</v>
      </c>
      <c r="I19" s="33" t="str">
        <f ca="1">_xlfn.FORMULATEXT(H19)</f>
        <v>=H20^2</v>
      </c>
      <c r="K19" s="25">
        <f t="shared" si="0"/>
        <v>19</v>
      </c>
    </row>
    <row r="20" spans="1:14" ht="12.75" customHeight="1" thickBot="1" x14ac:dyDescent="0.25">
      <c r="A20" s="54"/>
      <c r="B20" s="24" t="s">
        <v>91</v>
      </c>
      <c r="C20" s="49">
        <f>EXP(H17-H19)</f>
        <v>49.999999999999972</v>
      </c>
      <c r="D20" s="33" t="str">
        <f ca="1">_xlfn.FORMULATEXT(C20)</f>
        <v>=EXP(H17-H19)</v>
      </c>
      <c r="F20" s="50"/>
      <c r="G20" s="144" t="s">
        <v>40</v>
      </c>
      <c r="H20" s="79">
        <f>H7</f>
        <v>0.9695397147571988</v>
      </c>
      <c r="I20" s="75" t="str">
        <f ca="1">_xlfn.FORMULATEXT(H20)</f>
        <v>=H7</v>
      </c>
      <c r="K20" s="25">
        <f t="shared" si="0"/>
        <v>20</v>
      </c>
    </row>
    <row r="21" spans="1:14" ht="12.75" customHeight="1" x14ac:dyDescent="0.2">
      <c r="A21" s="54"/>
      <c r="B21" s="52" t="s">
        <v>90</v>
      </c>
      <c r="C21" s="53">
        <f>_xlfn.LOGNORM.DIST(C20,H$17,H$20,0)</f>
        <v>5.1434494421579704E-3</v>
      </c>
      <c r="D21" s="33" t="str">
        <f ca="1">_xlfn.FORMULATEXT(C21)</f>
        <v>=LOGNORM.DIST(C20,H$17,H$20,0)</v>
      </c>
      <c r="F21" s="54"/>
      <c r="G21" s="55"/>
      <c r="H21" s="58"/>
      <c r="I21" s="31"/>
      <c r="K21" s="25">
        <f t="shared" si="0"/>
        <v>21</v>
      </c>
    </row>
    <row r="22" spans="1:14" ht="12.75" customHeight="1" x14ac:dyDescent="0.2">
      <c r="A22" s="54"/>
      <c r="B22" s="52" t="s">
        <v>95</v>
      </c>
      <c r="C22" s="57">
        <f>$C$18*SQRT((($C$18/$C$17)^2)-1)</f>
        <v>255.79511801439759</v>
      </c>
      <c r="D22" s="33" t="str">
        <f ca="1">_xlfn.FORMULATEXT(C22)</f>
        <v>=$C$18*SQRT((($C$18/$C$17)^2)-1)</v>
      </c>
      <c r="I22" s="30" t="s">
        <v>47</v>
      </c>
      <c r="K22" s="25">
        <f t="shared" si="0"/>
        <v>22</v>
      </c>
    </row>
    <row r="23" spans="1:14" ht="12.75" customHeight="1" x14ac:dyDescent="0.2">
      <c r="A23" s="54"/>
      <c r="B23" s="24" t="s">
        <v>133</v>
      </c>
      <c r="C23" s="82">
        <f>1-_xlfn.NORM.DIST(LN(C5),H17,H20,1)</f>
        <v>0.68608019666054221</v>
      </c>
      <c r="D23" s="33" t="str">
        <f ca="1">_xlfn.FORMULATEXT(C23)</f>
        <v>=1-NORM.DIST(LN(C5),H17,H20,1)</v>
      </c>
      <c r="I23" s="30"/>
      <c r="K23" s="25">
        <f t="shared" si="0"/>
        <v>23</v>
      </c>
    </row>
    <row r="24" spans="1:14" ht="12.75" customHeight="1" x14ac:dyDescent="0.2">
      <c r="A24" s="63"/>
      <c r="B24" s="64"/>
      <c r="C24" s="65"/>
      <c r="D24" s="66"/>
      <c r="E24" s="64"/>
      <c r="F24" s="64"/>
      <c r="G24" s="64"/>
      <c r="H24" s="64"/>
      <c r="I24" s="64"/>
      <c r="J24" s="64"/>
      <c r="K24" s="25">
        <f t="shared" si="0"/>
        <v>24</v>
      </c>
      <c r="N24" s="153"/>
    </row>
    <row r="25" spans="1:14" ht="12.75" customHeight="1" x14ac:dyDescent="0.2">
      <c r="A25" s="29" t="s">
        <v>22</v>
      </c>
      <c r="B25" s="121"/>
      <c r="C25" s="129" t="s">
        <v>68</v>
      </c>
      <c r="D25" s="15"/>
      <c r="E25" s="129" t="s">
        <v>67</v>
      </c>
      <c r="F25" s="15"/>
      <c r="G25" s="29" t="s">
        <v>23</v>
      </c>
      <c r="H25" s="126">
        <v>1000</v>
      </c>
      <c r="K25" s="25">
        <f t="shared" si="0"/>
        <v>25</v>
      </c>
      <c r="N25" s="153"/>
    </row>
    <row r="26" spans="1:14" ht="12.75" customHeight="1" thickBot="1" x14ac:dyDescent="0.25">
      <c r="A26" s="29" t="s">
        <v>28</v>
      </c>
      <c r="B26" s="29" t="s">
        <v>29</v>
      </c>
      <c r="C26" s="29" t="s">
        <v>30</v>
      </c>
      <c r="D26" s="29" t="s">
        <v>31</v>
      </c>
      <c r="E26" s="121" t="s">
        <v>32</v>
      </c>
      <c r="F26" s="34" t="s">
        <v>33</v>
      </c>
      <c r="G26" s="29" t="s">
        <v>34</v>
      </c>
      <c r="H26" s="29" t="s">
        <v>24</v>
      </c>
      <c r="I26" s="27" t="s">
        <v>66</v>
      </c>
      <c r="K26" s="25">
        <f t="shared" si="0"/>
        <v>26</v>
      </c>
      <c r="N26" s="153"/>
    </row>
    <row r="27" spans="1:14" ht="12.75" customHeight="1" x14ac:dyDescent="0.2">
      <c r="A27" s="35">
        <v>1E-13</v>
      </c>
      <c r="B27" s="40">
        <f t="shared" ref="B27:B50" si="1">_xlfn.LOGNORM.INV(A27/100,H$4,H$7)</f>
        <v>2.2653822513571856E-2</v>
      </c>
      <c r="C27" s="130">
        <f t="shared" ref="C27:C50" si="2">(A27-A$27)/100</f>
        <v>0</v>
      </c>
      <c r="D27" s="41">
        <f t="shared" ref="D27:D50" si="3">_xlfn.LOGNORM.DIST(B27,H$17,H$20,1)</f>
        <v>2.531339439652089E-19</v>
      </c>
      <c r="E27" s="36">
        <f t="shared" ref="E27:E48" si="4">(100-A27)/100</f>
        <v>0.999999999999999</v>
      </c>
      <c r="F27" s="36">
        <f t="shared" ref="F27:F48" si="5">1-D27</f>
        <v>1</v>
      </c>
      <c r="G27" s="80">
        <f t="shared" ref="G27:G48" si="6">F27/E27</f>
        <v>1.0000000000000011</v>
      </c>
      <c r="H27" s="87">
        <f t="shared" ref="H27:H50" si="7">C$5*F27/E27</f>
        <v>80.000000000000085</v>
      </c>
      <c r="I27" s="42">
        <f t="shared" ref="I27:I39" si="8">H27/B27</f>
        <v>3531.4128532644881</v>
      </c>
      <c r="K27" s="25">
        <f t="shared" si="0"/>
        <v>27</v>
      </c>
      <c r="N27" s="153"/>
    </row>
    <row r="28" spans="1:14" ht="12.75" customHeight="1" x14ac:dyDescent="0.2">
      <c r="A28" s="44">
        <v>10</v>
      </c>
      <c r="B28" s="45">
        <f t="shared" si="1"/>
        <v>14.432864543148714</v>
      </c>
      <c r="C28" s="46">
        <f t="shared" si="2"/>
        <v>9.9999999999999006E-2</v>
      </c>
      <c r="D28" s="47">
        <f t="shared" si="3"/>
        <v>1.2189878293624848E-2</v>
      </c>
      <c r="E28" s="43">
        <f t="shared" si="4"/>
        <v>0.9</v>
      </c>
      <c r="F28" s="43">
        <f t="shared" si="5"/>
        <v>0.98781012170637517</v>
      </c>
      <c r="G28" s="81">
        <f t="shared" si="6"/>
        <v>1.0975668018959723</v>
      </c>
      <c r="H28" s="89">
        <f t="shared" si="7"/>
        <v>87.805344151677787</v>
      </c>
      <c r="I28" s="48">
        <f t="shared" si="8"/>
        <v>6.0837087391192215</v>
      </c>
      <c r="K28" s="25">
        <f t="shared" si="0"/>
        <v>28</v>
      </c>
      <c r="N28" s="153"/>
    </row>
    <row r="29" spans="1:14" ht="12.75" customHeight="1" x14ac:dyDescent="0.2">
      <c r="A29" s="44">
        <v>20</v>
      </c>
      <c r="B29" s="45">
        <f t="shared" si="1"/>
        <v>22.110172454845447</v>
      </c>
      <c r="C29" s="46">
        <f t="shared" si="2"/>
        <v>0.19999999999999901</v>
      </c>
      <c r="D29" s="47">
        <f t="shared" si="3"/>
        <v>3.5057970629403967E-2</v>
      </c>
      <c r="E29" s="43">
        <f t="shared" si="4"/>
        <v>0.8</v>
      </c>
      <c r="F29" s="43">
        <f t="shared" si="5"/>
        <v>0.96494202937059603</v>
      </c>
      <c r="G29" s="81">
        <f t="shared" si="6"/>
        <v>1.206177536713245</v>
      </c>
      <c r="H29" s="89">
        <f t="shared" si="7"/>
        <v>96.494202937059598</v>
      </c>
      <c r="I29" s="48">
        <f t="shared" si="8"/>
        <v>4.3642446993177062</v>
      </c>
      <c r="K29" s="25">
        <f t="shared" si="0"/>
        <v>29</v>
      </c>
    </row>
    <row r="30" spans="1:14" ht="12.75" customHeight="1" x14ac:dyDescent="0.2">
      <c r="A30" s="44">
        <v>25</v>
      </c>
      <c r="B30" s="45">
        <f t="shared" ref="B30" si="9">_xlfn.LOGNORM.INV(A30/100,H$4,H$7)</f>
        <v>25.999528556541673</v>
      </c>
      <c r="C30" s="46">
        <f t="shared" ref="C30" si="10">(A30-A$27)/100</f>
        <v>0.249999999999999</v>
      </c>
      <c r="D30" s="47">
        <f t="shared" ref="D30" si="11">_xlfn.LOGNORM.DIST(B30,H$17,H$20,1)</f>
        <v>5.0085058106288501E-2</v>
      </c>
      <c r="E30" s="43">
        <f t="shared" ref="E30" si="12">(100-A30)/100</f>
        <v>0.75</v>
      </c>
      <c r="F30" s="43">
        <f t="shared" ref="F30" si="13">1-D30</f>
        <v>0.94991494189371151</v>
      </c>
      <c r="G30" s="81">
        <f t="shared" ref="G30" si="14">F30/E30</f>
        <v>1.2665532558582819</v>
      </c>
      <c r="H30" s="89">
        <f t="shared" ref="H30" si="15">C$5*F30/E30</f>
        <v>101.32426046866256</v>
      </c>
      <c r="I30" s="48">
        <f t="shared" ref="I30" si="16">H30/B30</f>
        <v>3.897157606081616</v>
      </c>
      <c r="K30" s="25">
        <f t="shared" si="0"/>
        <v>30</v>
      </c>
    </row>
    <row r="31" spans="1:14" ht="12.75" customHeight="1" x14ac:dyDescent="0.2">
      <c r="A31" s="44">
        <v>30</v>
      </c>
      <c r="B31" s="45">
        <f t="shared" si="1"/>
        <v>30.072041368779331</v>
      </c>
      <c r="C31" s="46">
        <f t="shared" si="2"/>
        <v>0.29999999999999899</v>
      </c>
      <c r="D31" s="47">
        <f t="shared" si="3"/>
        <v>6.7595621430315667E-2</v>
      </c>
      <c r="E31" s="43">
        <f t="shared" si="4"/>
        <v>0.7</v>
      </c>
      <c r="F31" s="43">
        <f t="shared" si="5"/>
        <v>0.93240437856968428</v>
      </c>
      <c r="G31" s="81">
        <f t="shared" si="6"/>
        <v>1.3320062550995491</v>
      </c>
      <c r="H31" s="89">
        <f t="shared" si="7"/>
        <v>106.56050040796391</v>
      </c>
      <c r="I31" s="48">
        <f t="shared" si="8"/>
        <v>3.5435073762100693</v>
      </c>
      <c r="K31" s="25">
        <f t="shared" si="0"/>
        <v>31</v>
      </c>
    </row>
    <row r="32" spans="1:14" ht="12.75" customHeight="1" x14ac:dyDescent="0.2">
      <c r="A32" s="44">
        <v>35</v>
      </c>
      <c r="B32" s="45">
        <f t="shared" si="1"/>
        <v>34.413175863612224</v>
      </c>
      <c r="C32" s="46">
        <f t="shared" si="2"/>
        <v>0.34999999999999898</v>
      </c>
      <c r="D32" s="47">
        <f t="shared" si="3"/>
        <v>8.7731054099647238E-2</v>
      </c>
      <c r="E32" s="43">
        <f t="shared" si="4"/>
        <v>0.65</v>
      </c>
      <c r="F32" s="43">
        <f t="shared" si="5"/>
        <v>0.91226894590035279</v>
      </c>
      <c r="G32" s="81">
        <f t="shared" si="6"/>
        <v>1.4034906860005427</v>
      </c>
      <c r="H32" s="89">
        <f t="shared" si="7"/>
        <v>112.27925488004341</v>
      </c>
      <c r="I32" s="48">
        <f t="shared" si="8"/>
        <v>3.2626821577012644</v>
      </c>
      <c r="K32" s="25">
        <f t="shared" si="0"/>
        <v>32</v>
      </c>
    </row>
    <row r="33" spans="1:14" ht="12.75" customHeight="1" x14ac:dyDescent="0.2">
      <c r="A33" s="44">
        <v>40</v>
      </c>
      <c r="B33" s="45">
        <f t="shared" si="1"/>
        <v>39.110576429011779</v>
      </c>
      <c r="C33" s="46">
        <f t="shared" si="2"/>
        <v>0.39999999999999902</v>
      </c>
      <c r="D33" s="47">
        <f t="shared" si="3"/>
        <v>0.11068622405084169</v>
      </c>
      <c r="E33" s="43">
        <f t="shared" si="4"/>
        <v>0.6</v>
      </c>
      <c r="F33" s="43">
        <f t="shared" si="5"/>
        <v>0.88931377594915828</v>
      </c>
      <c r="G33" s="81">
        <f t="shared" si="6"/>
        <v>1.4821896265819305</v>
      </c>
      <c r="H33" s="89">
        <f t="shared" si="7"/>
        <v>118.57517012655445</v>
      </c>
      <c r="I33" s="48">
        <f t="shared" si="8"/>
        <v>3.0317929561016839</v>
      </c>
      <c r="K33" s="25">
        <f t="shared" si="0"/>
        <v>33</v>
      </c>
    </row>
    <row r="34" spans="1:14" ht="12.75" customHeight="1" x14ac:dyDescent="0.2">
      <c r="A34" s="44">
        <v>45</v>
      </c>
      <c r="B34" s="45">
        <f t="shared" si="1"/>
        <v>44.264780533755996</v>
      </c>
      <c r="C34" s="46">
        <f t="shared" si="2"/>
        <v>0.44999999999999901</v>
      </c>
      <c r="D34" s="47">
        <f t="shared" si="3"/>
        <v>0.13671428035658018</v>
      </c>
      <c r="E34" s="43">
        <f t="shared" si="4"/>
        <v>0.55000000000000004</v>
      </c>
      <c r="F34" s="43">
        <f t="shared" si="5"/>
        <v>0.86328571964341982</v>
      </c>
      <c r="G34" s="81">
        <f t="shared" si="6"/>
        <v>1.5696103993516723</v>
      </c>
      <c r="H34" s="89">
        <f t="shared" si="7"/>
        <v>125.56883194813378</v>
      </c>
      <c r="I34" s="48">
        <f t="shared" si="8"/>
        <v>2.8367661701694402</v>
      </c>
      <c r="K34" s="25">
        <f t="shared" si="0"/>
        <v>34</v>
      </c>
    </row>
    <row r="35" spans="1:14" ht="12.75" customHeight="1" x14ac:dyDescent="0.2">
      <c r="A35" s="44">
        <v>50</v>
      </c>
      <c r="B35" s="45">
        <f t="shared" si="1"/>
        <v>49.999999999999993</v>
      </c>
      <c r="C35" s="46">
        <f t="shared" si="2"/>
        <v>0.499999999999999</v>
      </c>
      <c r="D35" s="47">
        <f t="shared" si="3"/>
        <v>0.16613798748279268</v>
      </c>
      <c r="E35" s="43">
        <f t="shared" si="4"/>
        <v>0.5</v>
      </c>
      <c r="F35" s="43">
        <f t="shared" si="5"/>
        <v>0.83386201251720737</v>
      </c>
      <c r="G35" s="81">
        <f t="shared" si="6"/>
        <v>1.6677240250344147</v>
      </c>
      <c r="H35" s="89">
        <f t="shared" si="7"/>
        <v>133.41792200275319</v>
      </c>
      <c r="I35" s="48">
        <f t="shared" si="8"/>
        <v>2.668358440055064</v>
      </c>
      <c r="K35" s="25">
        <f t="shared" si="0"/>
        <v>35</v>
      </c>
    </row>
    <row r="36" spans="1:14" ht="12.75" customHeight="1" x14ac:dyDescent="0.2">
      <c r="A36" s="44">
        <v>55</v>
      </c>
      <c r="B36" s="45">
        <f t="shared" si="1"/>
        <v>56.478310066250479</v>
      </c>
      <c r="C36" s="46">
        <f t="shared" si="2"/>
        <v>0.54999999999999905</v>
      </c>
      <c r="D36" s="47">
        <f t="shared" si="3"/>
        <v>0.19936868870067512</v>
      </c>
      <c r="E36" s="43">
        <f t="shared" si="4"/>
        <v>0.45</v>
      </c>
      <c r="F36" s="43">
        <f t="shared" si="5"/>
        <v>0.80063131129932485</v>
      </c>
      <c r="G36" s="81">
        <f t="shared" si="6"/>
        <v>1.7791806917762774</v>
      </c>
      <c r="H36" s="89">
        <f t="shared" si="7"/>
        <v>142.33445534210219</v>
      </c>
      <c r="I36" s="48">
        <f t="shared" si="8"/>
        <v>2.5201613712439395</v>
      </c>
      <c r="K36" s="25">
        <f t="shared" si="0"/>
        <v>36</v>
      </c>
    </row>
    <row r="37" spans="1:14" ht="12.75" customHeight="1" x14ac:dyDescent="0.2">
      <c r="A37" s="44">
        <v>60</v>
      </c>
      <c r="B37" s="45">
        <f t="shared" si="1"/>
        <v>63.921328404291408</v>
      </c>
      <c r="C37" s="46">
        <f t="shared" si="2"/>
        <v>0.59999999999999898</v>
      </c>
      <c r="D37" s="47">
        <f t="shared" si="3"/>
        <v>0.23693621228519759</v>
      </c>
      <c r="E37" s="43">
        <f t="shared" si="4"/>
        <v>0.4</v>
      </c>
      <c r="F37" s="43">
        <f t="shared" si="5"/>
        <v>0.76306378771480243</v>
      </c>
      <c r="G37" s="81">
        <f t="shared" si="6"/>
        <v>1.9076594692870059</v>
      </c>
      <c r="H37" s="89">
        <f t="shared" si="7"/>
        <v>152.61275754296048</v>
      </c>
      <c r="I37" s="48">
        <f t="shared" si="8"/>
        <v>2.3875091671704793</v>
      </c>
      <c r="K37" s="25">
        <f t="shared" si="0"/>
        <v>37</v>
      </c>
      <c r="N37" s="153"/>
    </row>
    <row r="38" spans="1:14" ht="12.75" customHeight="1" x14ac:dyDescent="0.2">
      <c r="A38" s="44">
        <v>65</v>
      </c>
      <c r="B38" s="45">
        <f t="shared" si="1"/>
        <v>72.646593557889162</v>
      </c>
      <c r="C38" s="46">
        <f t="shared" si="2"/>
        <v>0.64999999999999902</v>
      </c>
      <c r="D38" s="47">
        <f t="shared" si="3"/>
        <v>0.27953640649521116</v>
      </c>
      <c r="E38" s="43">
        <f t="shared" si="4"/>
        <v>0.35</v>
      </c>
      <c r="F38" s="43">
        <f t="shared" si="5"/>
        <v>0.72046359350478884</v>
      </c>
      <c r="G38" s="81">
        <f t="shared" si="6"/>
        <v>2.0584674100136824</v>
      </c>
      <c r="H38" s="89">
        <f t="shared" si="7"/>
        <v>164.67739280109461</v>
      </c>
      <c r="I38" s="48">
        <f t="shared" si="8"/>
        <v>2.2668288316900886</v>
      </c>
      <c r="K38" s="25">
        <f t="shared" si="0"/>
        <v>38</v>
      </c>
      <c r="N38" s="153"/>
    </row>
    <row r="39" spans="1:14" ht="12.75" customHeight="1" x14ac:dyDescent="0.2">
      <c r="A39" s="44">
        <v>70</v>
      </c>
      <c r="B39" s="45">
        <f t="shared" si="1"/>
        <v>83.133697820577225</v>
      </c>
      <c r="C39" s="46">
        <f t="shared" si="2"/>
        <v>0.69999999999999896</v>
      </c>
      <c r="D39" s="47">
        <f t="shared" si="3"/>
        <v>0.32810958011153157</v>
      </c>
      <c r="E39" s="43">
        <f t="shared" si="4"/>
        <v>0.3</v>
      </c>
      <c r="F39" s="43">
        <f t="shared" si="5"/>
        <v>0.67189041988846843</v>
      </c>
      <c r="G39" s="81">
        <f t="shared" si="6"/>
        <v>2.2396347329615613</v>
      </c>
      <c r="H39" s="89">
        <f t="shared" si="7"/>
        <v>179.17077863692492</v>
      </c>
      <c r="I39" s="48">
        <f t="shared" si="8"/>
        <v>2.1552124268984056</v>
      </c>
      <c r="K39" s="25">
        <f t="shared" si="0"/>
        <v>39</v>
      </c>
      <c r="N39" s="153"/>
    </row>
    <row r="40" spans="1:14" ht="12.75" customHeight="1" x14ac:dyDescent="0.2">
      <c r="A40" s="68">
        <v>75</v>
      </c>
      <c r="B40" s="69">
        <f t="shared" si="1"/>
        <v>96.155589689374622</v>
      </c>
      <c r="C40" s="70">
        <f t="shared" si="2"/>
        <v>0.749999999999999</v>
      </c>
      <c r="D40" s="71">
        <f t="shared" si="3"/>
        <v>0.3839778557526673</v>
      </c>
      <c r="E40" s="72">
        <f t="shared" si="4"/>
        <v>0.25</v>
      </c>
      <c r="F40" s="72">
        <f t="shared" si="5"/>
        <v>0.6160221442473327</v>
      </c>
      <c r="G40" s="131">
        <f t="shared" si="6"/>
        <v>2.4640885769893308</v>
      </c>
      <c r="H40" s="89">
        <f t="shared" si="7"/>
        <v>197.12708615914647</v>
      </c>
      <c r="I40" s="48">
        <f>H40/B40</f>
        <v>2.0500845223450321</v>
      </c>
      <c r="K40" s="25">
        <f t="shared" si="0"/>
        <v>40</v>
      </c>
      <c r="N40" s="153"/>
    </row>
    <row r="41" spans="1:14" ht="12.75" customHeight="1" x14ac:dyDescent="0.2">
      <c r="A41" s="44">
        <v>80</v>
      </c>
      <c r="B41" s="45">
        <f t="shared" si="1"/>
        <v>113.070126662541</v>
      </c>
      <c r="C41" s="46">
        <f t="shared" si="2"/>
        <v>0.79999999999999905</v>
      </c>
      <c r="D41" s="47">
        <f t="shared" si="3"/>
        <v>0.44910674266492873</v>
      </c>
      <c r="E41" s="43">
        <f t="shared" si="4"/>
        <v>0.2</v>
      </c>
      <c r="F41" s="43">
        <f t="shared" si="5"/>
        <v>0.55089325733507133</v>
      </c>
      <c r="G41" s="81">
        <f t="shared" si="6"/>
        <v>2.7544662866753566</v>
      </c>
      <c r="H41" s="89">
        <f t="shared" si="7"/>
        <v>220.35730293402852</v>
      </c>
      <c r="I41" s="48">
        <f t="shared" ref="I41:I48" si="17">H41/B41</f>
        <v>1.9488551878223968</v>
      </c>
      <c r="K41" s="25">
        <f t="shared" si="0"/>
        <v>41</v>
      </c>
      <c r="N41" s="153"/>
    </row>
    <row r="42" spans="1:14" ht="12.75" customHeight="1" x14ac:dyDescent="0.2">
      <c r="A42" s="68">
        <v>85</v>
      </c>
      <c r="B42" s="69">
        <f t="shared" si="1"/>
        <v>136.57669681301556</v>
      </c>
      <c r="C42" s="70">
        <f t="shared" si="2"/>
        <v>0.84999999999999898</v>
      </c>
      <c r="D42" s="71">
        <f t="shared" si="3"/>
        <v>0.52666682570498957</v>
      </c>
      <c r="E42" s="72">
        <f t="shared" si="4"/>
        <v>0.15</v>
      </c>
      <c r="F42" s="72">
        <f t="shared" si="5"/>
        <v>0.47333317429501043</v>
      </c>
      <c r="G42" s="131">
        <f t="shared" si="6"/>
        <v>3.1555544953000698</v>
      </c>
      <c r="H42" s="89">
        <f t="shared" si="7"/>
        <v>252.44435962400559</v>
      </c>
      <c r="I42" s="48">
        <f t="shared" si="17"/>
        <v>1.8483706628929688</v>
      </c>
      <c r="K42" s="25">
        <f t="shared" si="0"/>
        <v>42</v>
      </c>
      <c r="N42" s="153"/>
    </row>
    <row r="43" spans="1:14" ht="12.75" customHeight="1" x14ac:dyDescent="0.2">
      <c r="A43" s="44">
        <v>90</v>
      </c>
      <c r="B43" s="45">
        <f t="shared" si="1"/>
        <v>173.21578765781123</v>
      </c>
      <c r="C43" s="46">
        <f t="shared" si="2"/>
        <v>0.89999999999999902</v>
      </c>
      <c r="D43" s="47">
        <f t="shared" si="3"/>
        <v>0.62248424150468229</v>
      </c>
      <c r="E43" s="43">
        <f t="shared" si="4"/>
        <v>0.1</v>
      </c>
      <c r="F43" s="43">
        <f t="shared" si="5"/>
        <v>0.37751575849531771</v>
      </c>
      <c r="G43" s="81">
        <f t="shared" si="6"/>
        <v>3.7751575849531771</v>
      </c>
      <c r="H43" s="89">
        <f t="shared" si="7"/>
        <v>302.01260679625415</v>
      </c>
      <c r="I43" s="48">
        <f t="shared" si="17"/>
        <v>1.7435628176854281</v>
      </c>
      <c r="K43" s="25">
        <f t="shared" si="0"/>
        <v>43</v>
      </c>
    </row>
    <row r="44" spans="1:14" ht="12.75" customHeight="1" x14ac:dyDescent="0.2">
      <c r="A44" s="44">
        <v>95</v>
      </c>
      <c r="B44" s="45">
        <f t="shared" si="1"/>
        <v>246.35508292548428</v>
      </c>
      <c r="C44" s="46">
        <f t="shared" si="2"/>
        <v>0.94999999999999896</v>
      </c>
      <c r="D44" s="47">
        <f t="shared" si="3"/>
        <v>0.75026182656550433</v>
      </c>
      <c r="E44" s="76">
        <f t="shared" si="4"/>
        <v>0.05</v>
      </c>
      <c r="F44" s="43">
        <f t="shared" si="5"/>
        <v>0.24973817343449567</v>
      </c>
      <c r="G44" s="45">
        <f t="shared" si="6"/>
        <v>4.9947634686899134</v>
      </c>
      <c r="H44" s="89">
        <f t="shared" si="7"/>
        <v>399.58107749519303</v>
      </c>
      <c r="I44" s="48">
        <f t="shared" si="17"/>
        <v>1.6219721255601429</v>
      </c>
      <c r="K44" s="25">
        <f t="shared" si="0"/>
        <v>44</v>
      </c>
      <c r="N44" s="153"/>
    </row>
    <row r="45" spans="1:14" ht="12.75" customHeight="1" x14ac:dyDescent="0.2">
      <c r="A45" s="68">
        <v>98</v>
      </c>
      <c r="B45" s="69">
        <f t="shared" si="1"/>
        <v>366.2126363828234</v>
      </c>
      <c r="C45" s="70">
        <f t="shared" si="2"/>
        <v>0.97999999999999898</v>
      </c>
      <c r="D45" s="71">
        <f t="shared" si="3"/>
        <v>0.86086397236014089</v>
      </c>
      <c r="E45" s="72">
        <f t="shared" si="4"/>
        <v>0.02</v>
      </c>
      <c r="F45" s="72">
        <f t="shared" si="5"/>
        <v>0.13913602763985911</v>
      </c>
      <c r="G45" s="69">
        <f t="shared" si="6"/>
        <v>6.9568013819929551</v>
      </c>
      <c r="H45" s="89">
        <f t="shared" si="7"/>
        <v>556.54411055943638</v>
      </c>
      <c r="I45" s="48">
        <f t="shared" si="17"/>
        <v>1.5197294010839331</v>
      </c>
      <c r="K45" s="25">
        <f t="shared" si="0"/>
        <v>45</v>
      </c>
      <c r="N45" s="153"/>
    </row>
    <row r="46" spans="1:14" ht="12.75" customHeight="1" x14ac:dyDescent="0.2">
      <c r="A46" s="44">
        <v>99</v>
      </c>
      <c r="B46" s="45">
        <f t="shared" si="1"/>
        <v>476.99674151126095</v>
      </c>
      <c r="C46" s="46">
        <f t="shared" si="2"/>
        <v>0.98999999999999899</v>
      </c>
      <c r="D46" s="47">
        <f t="shared" si="3"/>
        <v>0.91257891285760584</v>
      </c>
      <c r="E46" s="76">
        <f t="shared" si="4"/>
        <v>0.01</v>
      </c>
      <c r="F46" s="43">
        <f t="shared" si="5"/>
        <v>8.742108714239416E-2</v>
      </c>
      <c r="G46" s="45">
        <f t="shared" si="6"/>
        <v>8.742108714239416</v>
      </c>
      <c r="H46" s="89">
        <f t="shared" si="7"/>
        <v>699.36869713915326</v>
      </c>
      <c r="I46" s="48">
        <f t="shared" si="17"/>
        <v>1.466191770877417</v>
      </c>
      <c r="K46" s="25">
        <f t="shared" si="0"/>
        <v>46</v>
      </c>
    </row>
    <row r="47" spans="1:14" ht="12.75" customHeight="1" x14ac:dyDescent="0.2">
      <c r="A47" s="44">
        <v>99.5</v>
      </c>
      <c r="B47" s="45">
        <f t="shared" si="1"/>
        <v>607.52408082924194</v>
      </c>
      <c r="C47" s="46">
        <f t="shared" si="2"/>
        <v>0.994999999999999</v>
      </c>
      <c r="D47" s="47">
        <f t="shared" si="3"/>
        <v>0.94589485159218811</v>
      </c>
      <c r="E47" s="76">
        <f t="shared" si="4"/>
        <v>5.0000000000000001E-3</v>
      </c>
      <c r="F47" s="43">
        <f t="shared" si="5"/>
        <v>5.4105148407811887E-2</v>
      </c>
      <c r="G47" s="45">
        <f t="shared" si="6"/>
        <v>10.821029681562377</v>
      </c>
      <c r="H47" s="89">
        <f t="shared" si="7"/>
        <v>865.68237452499022</v>
      </c>
      <c r="I47" s="132">
        <f t="shared" si="17"/>
        <v>1.4249350796817375</v>
      </c>
      <c r="K47" s="25">
        <f t="shared" si="0"/>
        <v>47</v>
      </c>
    </row>
    <row r="48" spans="1:14" ht="12.75" customHeight="1" x14ac:dyDescent="0.2">
      <c r="A48" s="68">
        <v>99.9</v>
      </c>
      <c r="B48" s="69">
        <f t="shared" si="1"/>
        <v>1000.3707438099683</v>
      </c>
      <c r="C48" s="47">
        <f t="shared" si="2"/>
        <v>0.99899999999999911</v>
      </c>
      <c r="D48" s="47">
        <f t="shared" si="3"/>
        <v>0.98302615980408636</v>
      </c>
      <c r="E48" s="76">
        <f t="shared" si="4"/>
        <v>9.9999999999994321E-4</v>
      </c>
      <c r="F48" s="43">
        <f t="shared" si="5"/>
        <v>1.6973840195913636E-2</v>
      </c>
      <c r="G48" s="45">
        <f t="shared" si="6"/>
        <v>16.973840195914601</v>
      </c>
      <c r="H48" s="89">
        <f t="shared" si="7"/>
        <v>1357.9072156731681</v>
      </c>
      <c r="I48" s="132">
        <f t="shared" si="17"/>
        <v>1.3574039665549416</v>
      </c>
      <c r="K48" s="25">
        <f t="shared" si="0"/>
        <v>48</v>
      </c>
    </row>
    <row r="49" spans="1:21" ht="12.75" customHeight="1" x14ac:dyDescent="0.2">
      <c r="A49" s="68">
        <v>99.99</v>
      </c>
      <c r="B49" s="69">
        <f t="shared" si="1"/>
        <v>1840.4349120429863</v>
      </c>
      <c r="C49" s="47">
        <f t="shared" si="2"/>
        <v>0.9998999999999989</v>
      </c>
      <c r="D49" s="47">
        <f t="shared" si="3"/>
        <v>0.99701547532205193</v>
      </c>
      <c r="E49" s="76">
        <f>(100-A49)/100</f>
        <v>1.0000000000005117E-4</v>
      </c>
      <c r="F49" s="43">
        <f>1-D49</f>
        <v>2.984524677948075E-3</v>
      </c>
      <c r="G49" s="81">
        <f>F49/E49</f>
        <v>29.84524677946548</v>
      </c>
      <c r="H49" s="89">
        <f t="shared" si="7"/>
        <v>2387.6197423572385</v>
      </c>
      <c r="I49" s="132">
        <f>H49/B49</f>
        <v>1.2973127855452635</v>
      </c>
      <c r="K49" s="25">
        <f t="shared" si="0"/>
        <v>49</v>
      </c>
    </row>
    <row r="50" spans="1:21" ht="12.75" customHeight="1" thickBot="1" x14ac:dyDescent="0.25">
      <c r="A50" s="83">
        <v>99.998999999999995</v>
      </c>
      <c r="B50" s="84">
        <f t="shared" si="1"/>
        <v>3124.4202008770108</v>
      </c>
      <c r="C50" s="85">
        <f t="shared" si="2"/>
        <v>0.99998999999999894</v>
      </c>
      <c r="D50" s="85">
        <f t="shared" si="3"/>
        <v>0.99950850605703989</v>
      </c>
      <c r="E50" s="86">
        <f>(100-A50)/100</f>
        <v>1.0000000000047748E-5</v>
      </c>
      <c r="F50" s="62">
        <f>1-D50</f>
        <v>4.914939429601084E-4</v>
      </c>
      <c r="G50" s="88">
        <f>F50/E50</f>
        <v>49.149394295776162</v>
      </c>
      <c r="H50" s="90">
        <f t="shared" si="7"/>
        <v>3931.9515436620927</v>
      </c>
      <c r="I50" s="133">
        <f>H50/B50</f>
        <v>1.2584579828790032</v>
      </c>
      <c r="K50" s="25">
        <f t="shared" si="0"/>
        <v>50</v>
      </c>
    </row>
    <row r="51" spans="1:21" ht="12.75" customHeight="1" x14ac:dyDescent="0.2">
      <c r="A51" s="122" t="s">
        <v>71</v>
      </c>
      <c r="B51" s="33" t="s">
        <v>72</v>
      </c>
      <c r="F51" s="122" t="s">
        <v>71</v>
      </c>
      <c r="G51" s="33" t="s">
        <v>72</v>
      </c>
      <c r="H51" s="60"/>
      <c r="I51" s="128"/>
      <c r="K51" s="25">
        <f t="shared" si="0"/>
        <v>51</v>
      </c>
    </row>
    <row r="52" spans="1:21" ht="12.75" customHeight="1" x14ac:dyDescent="0.2">
      <c r="A52" s="127" t="str">
        <f>CHAR(COLUMN(B27)+64)&amp;ROW(B27)</f>
        <v>B27</v>
      </c>
      <c r="B52" s="92" t="str">
        <f ca="1">_xlfn.FORMULATEXT(B27)</f>
        <v>=LOGNORM.INV(A27/100,H$4,H$7)</v>
      </c>
      <c r="F52" s="127" t="str">
        <f>CHAR(COLUMN(F27)+64)&amp;ROW(F27)</f>
        <v>F27</v>
      </c>
      <c r="G52" s="92" t="str">
        <f ca="1">_xlfn.FORMULATEXT(F27)</f>
        <v>=1-D27</v>
      </c>
      <c r="K52" s="25">
        <f t="shared" si="0"/>
        <v>52</v>
      </c>
    </row>
    <row r="53" spans="1:21" ht="12.75" customHeight="1" x14ac:dyDescent="0.2">
      <c r="A53" s="127" t="str">
        <f>CHAR(COLUMN(C27)+64)&amp;ROW(C27)</f>
        <v>C27</v>
      </c>
      <c r="B53" s="92" t="str">
        <f ca="1">_xlfn.FORMULATEXT(C27)</f>
        <v>=(A27-A$27)/100</v>
      </c>
      <c r="F53" s="127" t="str">
        <f>CHAR(COLUMN(G27)+64)&amp;ROW(G27)</f>
        <v>G27</v>
      </c>
      <c r="G53" s="92" t="str">
        <f ca="1">_xlfn.FORMULATEXT(G27)</f>
        <v>=F27/E27</v>
      </c>
      <c r="K53" s="25">
        <f t="shared" si="0"/>
        <v>53</v>
      </c>
    </row>
    <row r="54" spans="1:21" ht="12.75" customHeight="1" x14ac:dyDescent="0.2">
      <c r="A54" s="127" t="str">
        <f>CHAR(COLUMN(D27)+64)&amp;ROW(D27)</f>
        <v>D27</v>
      </c>
      <c r="B54" s="92" t="str">
        <f ca="1">_xlfn.FORMULATEXT(D27)</f>
        <v>=LOGNORM.DIST(B27,H$17,H$20,1)</v>
      </c>
      <c r="F54" s="127" t="str">
        <f>CHAR(COLUMN(H27)+64)&amp;ROW(H27)</f>
        <v>H27</v>
      </c>
      <c r="G54" s="92" t="str">
        <f ca="1">_xlfn.FORMULATEXT(H27)</f>
        <v>=C$5*F27/E27</v>
      </c>
      <c r="K54" s="25">
        <f t="shared" si="0"/>
        <v>54</v>
      </c>
    </row>
    <row r="55" spans="1:21" ht="12.75" customHeight="1" x14ac:dyDescent="0.2">
      <c r="A55" s="127" t="str">
        <f>CHAR(COLUMN(E27)+64)&amp;ROW(E27)</f>
        <v>E27</v>
      </c>
      <c r="B55" s="92" t="str">
        <f ca="1">_xlfn.FORMULATEXT(E27)</f>
        <v>=(100-A27)/100</v>
      </c>
      <c r="D55" s="110">
        <f>C83/B83</f>
        <v>75.946114449627274</v>
      </c>
      <c r="E55" s="25" t="s">
        <v>63</v>
      </c>
      <c r="F55" s="127" t="str">
        <f>CHAR(COLUMN(I27)+64)&amp;ROW(I27)</f>
        <v>I27</v>
      </c>
      <c r="G55" s="92" t="str">
        <f ca="1">_xlfn.FORMULATEXT(I27)</f>
        <v>=H27/B27</v>
      </c>
      <c r="K55" s="25">
        <f t="shared" si="0"/>
        <v>55</v>
      </c>
    </row>
    <row r="56" spans="1:21" x14ac:dyDescent="0.2">
      <c r="A56" s="94" t="s">
        <v>10</v>
      </c>
      <c r="B56" s="95" t="s">
        <v>11</v>
      </c>
      <c r="C56" s="96" t="s">
        <v>12</v>
      </c>
      <c r="D56" s="97" t="s">
        <v>13</v>
      </c>
      <c r="E56" s="95" t="s">
        <v>14</v>
      </c>
      <c r="F56" s="95" t="s">
        <v>15</v>
      </c>
      <c r="G56" s="95" t="s">
        <v>16</v>
      </c>
      <c r="H56" s="95" t="s">
        <v>17</v>
      </c>
      <c r="I56" s="95" t="s">
        <v>18</v>
      </c>
      <c r="J56" s="95" t="s">
        <v>55</v>
      </c>
      <c r="K56" s="25">
        <f t="shared" si="0"/>
        <v>56</v>
      </c>
    </row>
    <row r="57" spans="1:21" ht="13.5" thickBot="1" x14ac:dyDescent="0.25">
      <c r="B57" s="98" t="s">
        <v>69</v>
      </c>
      <c r="C57" s="99"/>
      <c r="F57" s="28" t="s">
        <v>70</v>
      </c>
      <c r="H57" s="26"/>
      <c r="J57" s="26"/>
      <c r="K57" s="25">
        <f t="shared" si="0"/>
        <v>57</v>
      </c>
    </row>
    <row r="58" spans="1:21" x14ac:dyDescent="0.2">
      <c r="A58" s="100" t="s">
        <v>25</v>
      </c>
      <c r="B58" s="101" t="s">
        <v>56</v>
      </c>
      <c r="C58" s="102" t="s">
        <v>57</v>
      </c>
      <c r="D58" s="103" t="s">
        <v>58</v>
      </c>
      <c r="E58" s="91"/>
      <c r="F58" s="104" t="s">
        <v>59</v>
      </c>
      <c r="G58" s="104" t="s">
        <v>64</v>
      </c>
      <c r="H58" s="104" t="s">
        <v>60</v>
      </c>
      <c r="J58" s="104" t="s">
        <v>61</v>
      </c>
      <c r="K58" s="25">
        <f t="shared" si="0"/>
        <v>58</v>
      </c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1:21" x14ac:dyDescent="0.2">
      <c r="A59" s="105">
        <v>1</v>
      </c>
      <c r="B59" s="106">
        <f t="shared" ref="B59:B122" si="18">_xlfn.LOGNORM.DIST(A59,$H$4,$H$7,0)</f>
        <v>1.1996303095554946E-4</v>
      </c>
      <c r="C59" s="76">
        <f t="shared" ref="C59:C122" si="19">B59/$C$8</f>
        <v>9.1107260786743374E-3</v>
      </c>
      <c r="D59" s="107">
        <f>_xlfn.LOGNORM.DIST(A59,H$4,H$7,1)</f>
        <v>2.7309514230538673E-5</v>
      </c>
      <c r="E59" s="37"/>
      <c r="F59" s="108">
        <f t="shared" ref="F59:F90" si="20">_xlfn.LOGNORM.DIST(A59,H$17,H$20,0)</f>
        <v>1.4995378869443714E-6</v>
      </c>
      <c r="G59" s="109">
        <f t="shared" ref="G59:G90" si="21">F59*D$55</f>
        <v>1.1388407598342948E-4</v>
      </c>
      <c r="H59" s="109">
        <f t="shared" ref="H59:H90" si="22">_xlfn.LOGNORM.DIST(A59,H$17,H$20,1)</f>
        <v>2.800828997743872E-7</v>
      </c>
      <c r="J59" s="111">
        <f t="shared" ref="J59:J105" si="23">D59-H59</f>
        <v>2.7029431330764286E-5</v>
      </c>
      <c r="K59" s="25">
        <f t="shared" si="0"/>
        <v>59</v>
      </c>
      <c r="L59" s="122"/>
      <c r="M59" s="122"/>
      <c r="N59" s="122"/>
      <c r="O59" s="122"/>
      <c r="P59" s="122"/>
      <c r="S59" s="154"/>
    </row>
    <row r="60" spans="1:21" x14ac:dyDescent="0.2">
      <c r="A60" s="105">
        <v>2</v>
      </c>
      <c r="B60" s="106">
        <f t="shared" si="18"/>
        <v>8.3142831583502984E-4</v>
      </c>
      <c r="C60" s="76">
        <f t="shared" si="19"/>
        <v>6.3143750031068022E-2</v>
      </c>
      <c r="D60" s="107">
        <f t="shared" ref="D60:D123" si="24">_xlfn.LOGNORM.DIST(A60,$H$4,$H$7,1)</f>
        <v>4.5008063588968113E-4</v>
      </c>
      <c r="E60" s="37"/>
      <c r="F60" s="108">
        <f t="shared" si="20"/>
        <v>2.0785707895875827E-5</v>
      </c>
      <c r="G60" s="109">
        <f t="shared" si="21"/>
        <v>1.578593750776707E-3</v>
      </c>
      <c r="H60" s="109">
        <f t="shared" si="22"/>
        <v>8.9520246780250891E-6</v>
      </c>
      <c r="J60" s="111">
        <f t="shared" si="23"/>
        <v>4.4112861121165604E-4</v>
      </c>
      <c r="K60" s="25">
        <f t="shared" si="0"/>
        <v>60</v>
      </c>
      <c r="L60" s="122"/>
      <c r="M60" s="37"/>
      <c r="N60" s="146"/>
      <c r="O60" s="146"/>
      <c r="P60" s="146"/>
      <c r="Q60" s="122"/>
      <c r="R60" s="37"/>
      <c r="S60" s="146"/>
      <c r="T60" s="146"/>
      <c r="U60" s="146"/>
    </row>
    <row r="61" spans="1:21" x14ac:dyDescent="0.2">
      <c r="A61" s="105">
        <v>3</v>
      </c>
      <c r="B61" s="106">
        <f t="shared" si="18"/>
        <v>2.0358543590987049E-3</v>
      </c>
      <c r="C61" s="76">
        <f t="shared" si="19"/>
        <v>0.15461522815888282</v>
      </c>
      <c r="D61" s="107">
        <f t="shared" si="24"/>
        <v>1.855124389261653E-3</v>
      </c>
      <c r="E61" s="37"/>
      <c r="F61" s="108">
        <f t="shared" si="20"/>
        <v>7.6344538466202046E-5</v>
      </c>
      <c r="G61" s="109">
        <f t="shared" si="21"/>
        <v>5.7980710559581523E-3</v>
      </c>
      <c r="H61" s="109">
        <f t="shared" si="22"/>
        <v>5.4119324871654976E-5</v>
      </c>
      <c r="J61" s="111">
        <f t="shared" si="23"/>
        <v>1.8010050643899979E-3</v>
      </c>
      <c r="K61" s="25">
        <f t="shared" si="0"/>
        <v>61</v>
      </c>
      <c r="L61" s="122"/>
      <c r="M61" s="37"/>
      <c r="N61" s="146"/>
      <c r="O61" s="146"/>
      <c r="P61" s="146"/>
      <c r="Q61" s="122"/>
      <c r="R61" s="37"/>
      <c r="S61" s="146"/>
      <c r="T61" s="146"/>
      <c r="U61" s="146"/>
    </row>
    <row r="62" spans="1:21" x14ac:dyDescent="0.2">
      <c r="A62" s="105">
        <v>4</v>
      </c>
      <c r="B62" s="106">
        <f t="shared" si="18"/>
        <v>3.4564255904555455E-3</v>
      </c>
      <c r="C62" s="76">
        <f t="shared" si="19"/>
        <v>0.26250209347935738</v>
      </c>
      <c r="D62" s="107">
        <f t="shared" si="24"/>
        <v>4.5926388030443667E-3</v>
      </c>
      <c r="E62" s="37"/>
      <c r="F62" s="108">
        <f t="shared" si="20"/>
        <v>1.7282127952277808E-4</v>
      </c>
      <c r="G62" s="109">
        <f t="shared" si="21"/>
        <v>1.312510467396793E-2</v>
      </c>
      <c r="H62" s="109">
        <f t="shared" si="22"/>
        <v>1.7536856712321302E-4</v>
      </c>
      <c r="J62" s="111">
        <f t="shared" si="23"/>
        <v>4.4172702359211533E-3</v>
      </c>
      <c r="K62" s="25">
        <f t="shared" si="0"/>
        <v>62</v>
      </c>
      <c r="L62" s="122"/>
      <c r="M62" s="37"/>
      <c r="N62" s="146"/>
      <c r="O62" s="146"/>
      <c r="P62" s="146"/>
      <c r="Q62" s="122"/>
      <c r="R62" s="37"/>
      <c r="S62" s="146"/>
      <c r="T62" s="146"/>
      <c r="U62" s="146"/>
    </row>
    <row r="63" spans="1:21" x14ac:dyDescent="0.2">
      <c r="A63" s="105">
        <v>5</v>
      </c>
      <c r="B63" s="106">
        <f t="shared" si="18"/>
        <v>4.9046114826249371E-3</v>
      </c>
      <c r="C63" s="76">
        <f t="shared" si="19"/>
        <v>0.37248618499038955</v>
      </c>
      <c r="D63" s="107">
        <f t="shared" si="24"/>
        <v>8.7762339691896795E-3</v>
      </c>
      <c r="E63" s="37"/>
      <c r="F63" s="108">
        <f t="shared" si="20"/>
        <v>3.0653821766405998E-4</v>
      </c>
      <c r="G63" s="109">
        <f t="shared" si="21"/>
        <v>2.3280386561899458E-2</v>
      </c>
      <c r="H63" s="109">
        <f t="shared" si="22"/>
        <v>4.1220606839342355E-4</v>
      </c>
      <c r="J63" s="111">
        <f t="shared" si="23"/>
        <v>8.3640279007962566E-3</v>
      </c>
      <c r="K63" s="25">
        <f t="shared" si="0"/>
        <v>63</v>
      </c>
      <c r="L63" s="122"/>
      <c r="M63" s="37"/>
      <c r="N63" s="146"/>
      <c r="O63" s="146"/>
      <c r="P63" s="146"/>
      <c r="Q63" s="122"/>
      <c r="R63" s="37"/>
      <c r="S63" s="146"/>
      <c r="T63" s="146"/>
      <c r="U63" s="146"/>
    </row>
    <row r="64" spans="1:21" x14ac:dyDescent="0.2">
      <c r="A64" s="105">
        <v>7</v>
      </c>
      <c r="B64" s="106">
        <f t="shared" si="18"/>
        <v>7.5209031288758169E-3</v>
      </c>
      <c r="C64" s="76">
        <f t="shared" si="19"/>
        <v>0.5711833697901626</v>
      </c>
      <c r="D64" s="107">
        <f t="shared" si="24"/>
        <v>2.1286108395982713E-2</v>
      </c>
      <c r="E64" s="37"/>
      <c r="F64" s="108">
        <f t="shared" si="20"/>
        <v>6.580790237766342E-4</v>
      </c>
      <c r="G64" s="109">
        <f t="shared" si="21"/>
        <v>4.9978544856639245E-2</v>
      </c>
      <c r="H64" s="109">
        <f t="shared" si="22"/>
        <v>1.3613655746762899E-3</v>
      </c>
      <c r="J64" s="111">
        <f t="shared" si="23"/>
        <v>1.9924742821306424E-2</v>
      </c>
      <c r="K64" s="25">
        <f t="shared" si="0"/>
        <v>64</v>
      </c>
      <c r="L64" s="122"/>
      <c r="M64" s="37"/>
      <c r="N64" s="146"/>
      <c r="O64" s="146"/>
      <c r="P64" s="146"/>
      <c r="Q64" s="122"/>
      <c r="R64" s="37"/>
      <c r="S64" s="146"/>
      <c r="T64" s="146"/>
      <c r="U64" s="146"/>
    </row>
    <row r="65" spans="1:21" x14ac:dyDescent="0.2">
      <c r="A65" s="105">
        <v>8</v>
      </c>
      <c r="B65" s="106">
        <f t="shared" si="18"/>
        <v>8.6189553771347325E-3</v>
      </c>
      <c r="C65" s="76">
        <f t="shared" si="19"/>
        <v>0.65457617150810476</v>
      </c>
      <c r="D65" s="107">
        <f t="shared" si="24"/>
        <v>2.9368539023850004E-2</v>
      </c>
      <c r="E65" s="37"/>
      <c r="F65" s="108">
        <f t="shared" si="20"/>
        <v>8.6189553771347401E-4</v>
      </c>
      <c r="G65" s="109">
        <f t="shared" si="21"/>
        <v>6.545761715081054E-2</v>
      </c>
      <c r="H65" s="109">
        <f t="shared" si="22"/>
        <v>2.1202372782199593E-3</v>
      </c>
      <c r="J65" s="111">
        <f t="shared" si="23"/>
        <v>2.7248301745630046E-2</v>
      </c>
      <c r="K65" s="25">
        <f t="shared" ref="K65:K128" si="25">K64+1</f>
        <v>65</v>
      </c>
      <c r="L65" s="122"/>
      <c r="M65" s="37"/>
      <c r="N65" s="146"/>
      <c r="O65" s="146"/>
      <c r="P65" s="146"/>
      <c r="Q65" s="122"/>
      <c r="R65" s="37"/>
      <c r="S65" s="146"/>
      <c r="T65" s="146"/>
      <c r="U65" s="146"/>
    </row>
    <row r="66" spans="1:21" x14ac:dyDescent="0.2">
      <c r="A66" s="105">
        <v>9</v>
      </c>
      <c r="B66" s="106">
        <f t="shared" si="18"/>
        <v>9.5680023614577014E-3</v>
      </c>
      <c r="C66" s="76">
        <f t="shared" si="19"/>
        <v>0.72665260239757057</v>
      </c>
      <c r="D66" s="107">
        <f t="shared" si="24"/>
        <v>3.8474255081250762E-2</v>
      </c>
      <c r="E66" s="37"/>
      <c r="F66" s="108">
        <f t="shared" si="20"/>
        <v>1.0764002656639903E-3</v>
      </c>
      <c r="G66" s="109">
        <f t="shared" si="21"/>
        <v>8.1748417769726606E-2</v>
      </c>
      <c r="H66" s="109">
        <f t="shared" si="22"/>
        <v>3.0887080775601292E-3</v>
      </c>
      <c r="J66" s="111">
        <f t="shared" si="23"/>
        <v>3.5385547003690634E-2</v>
      </c>
      <c r="K66" s="25">
        <f t="shared" si="25"/>
        <v>66</v>
      </c>
      <c r="L66" s="122"/>
      <c r="M66" s="37"/>
      <c r="N66" s="146"/>
      <c r="O66" s="146"/>
      <c r="P66" s="146"/>
      <c r="Q66" s="122"/>
      <c r="R66" s="37"/>
      <c r="S66" s="146"/>
      <c r="T66" s="146"/>
      <c r="U66" s="146"/>
    </row>
    <row r="67" spans="1:21" x14ac:dyDescent="0.2">
      <c r="A67" s="105">
        <v>10</v>
      </c>
      <c r="B67" s="106">
        <f t="shared" si="18"/>
        <v>1.0374616416482482E-2</v>
      </c>
      <c r="C67" s="76">
        <f t="shared" si="19"/>
        <v>0.78791180573716046</v>
      </c>
      <c r="D67" s="107">
        <f t="shared" si="24"/>
        <v>4.8457020233010926E-2</v>
      </c>
      <c r="E67" s="37"/>
      <c r="F67" s="108">
        <f t="shared" si="20"/>
        <v>1.2968270520603122E-3</v>
      </c>
      <c r="G67" s="109">
        <f t="shared" si="21"/>
        <v>9.8488975717145211E-2</v>
      </c>
      <c r="H67" s="109">
        <f t="shared" si="22"/>
        <v>4.2750014678741583E-3</v>
      </c>
      <c r="J67" s="111">
        <f t="shared" si="23"/>
        <v>4.418201876513677E-2</v>
      </c>
      <c r="K67" s="25">
        <f t="shared" si="25"/>
        <v>67</v>
      </c>
      <c r="L67" s="122"/>
      <c r="M67" s="37"/>
      <c r="N67" s="146"/>
      <c r="O67" s="146"/>
      <c r="P67" s="146"/>
      <c r="Q67" s="122"/>
      <c r="R67" s="37"/>
      <c r="S67" s="146"/>
      <c r="T67" s="146"/>
      <c r="U67" s="146"/>
    </row>
    <row r="68" spans="1:21" x14ac:dyDescent="0.2">
      <c r="A68" s="105">
        <v>12</v>
      </c>
      <c r="B68" s="106">
        <f t="shared" si="18"/>
        <v>1.1605996843406444E-2</v>
      </c>
      <c r="C68" s="76">
        <f t="shared" si="19"/>
        <v>0.88143036457135859</v>
      </c>
      <c r="D68" s="107">
        <f t="shared" si="24"/>
        <v>7.051685962493115E-2</v>
      </c>
      <c r="E68" s="37"/>
      <c r="F68" s="108">
        <f t="shared" si="20"/>
        <v>1.7408995265109676E-3</v>
      </c>
      <c r="G68" s="109">
        <f t="shared" si="21"/>
        <v>0.13221455468570387</v>
      </c>
      <c r="H68" s="109">
        <f t="shared" si="22"/>
        <v>7.3133529234532891E-3</v>
      </c>
      <c r="J68" s="111">
        <f t="shared" si="23"/>
        <v>6.3203506701477855E-2</v>
      </c>
      <c r="K68" s="25">
        <f t="shared" si="25"/>
        <v>68</v>
      </c>
      <c r="L68" s="122"/>
      <c r="M68" s="37"/>
      <c r="N68" s="146"/>
      <c r="O68" s="146"/>
      <c r="P68" s="146"/>
      <c r="Q68" s="122"/>
      <c r="R68" s="37"/>
      <c r="S68" s="146"/>
      <c r="T68" s="146"/>
      <c r="U68" s="146"/>
    </row>
    <row r="69" spans="1:21" x14ac:dyDescent="0.2">
      <c r="A69" s="105">
        <v>14</v>
      </c>
      <c r="B69" s="106">
        <f t="shared" si="18"/>
        <v>1.2413230569943206E-2</v>
      </c>
      <c r="C69" s="76">
        <f t="shared" si="19"/>
        <v>0.94273662955451865</v>
      </c>
      <c r="D69" s="107">
        <f t="shared" si="24"/>
        <v>9.4598420035729047E-2</v>
      </c>
      <c r="E69" s="37"/>
      <c r="F69" s="108">
        <f t="shared" si="20"/>
        <v>2.1723153497400613E-3</v>
      </c>
      <c r="G69" s="109">
        <f t="shared" si="21"/>
        <v>0.1649789101720408</v>
      </c>
      <c r="H69" s="109">
        <f t="shared" si="22"/>
        <v>1.1229963284196424E-2</v>
      </c>
      <c r="J69" s="111">
        <f t="shared" si="23"/>
        <v>8.3368456751532621E-2</v>
      </c>
      <c r="K69" s="25">
        <f t="shared" si="25"/>
        <v>69</v>
      </c>
      <c r="L69" s="122"/>
      <c r="M69" s="37"/>
      <c r="N69" s="146"/>
      <c r="O69" s="146"/>
      <c r="P69" s="146"/>
      <c r="Q69" s="122"/>
      <c r="R69" s="37"/>
      <c r="S69" s="146"/>
      <c r="T69" s="146"/>
      <c r="U69" s="146"/>
    </row>
    <row r="70" spans="1:21" x14ac:dyDescent="0.2">
      <c r="A70" s="105">
        <v>16</v>
      </c>
      <c r="B70" s="106">
        <f t="shared" si="18"/>
        <v>1.2891607434710375E-2</v>
      </c>
      <c r="C70" s="76">
        <f t="shared" si="19"/>
        <v>0.97906749367617985</v>
      </c>
      <c r="D70" s="107">
        <f t="shared" si="24"/>
        <v>0.11995091736537582</v>
      </c>
      <c r="E70" s="37"/>
      <c r="F70" s="108">
        <f t="shared" si="20"/>
        <v>2.5783214869420758E-3</v>
      </c>
      <c r="G70" s="109">
        <f t="shared" si="21"/>
        <v>0.19581349873523607</v>
      </c>
      <c r="H70" s="109">
        <f t="shared" si="22"/>
        <v>1.5985544250847562E-2</v>
      </c>
      <c r="J70" s="116">
        <f t="shared" si="23"/>
        <v>0.10396537311452825</v>
      </c>
      <c r="K70" s="25">
        <f t="shared" si="25"/>
        <v>70</v>
      </c>
      <c r="L70" s="122"/>
      <c r="M70" s="37"/>
      <c r="N70" s="146"/>
      <c r="O70" s="146"/>
      <c r="P70" s="146"/>
      <c r="Q70" s="122"/>
      <c r="R70" s="37"/>
      <c r="S70" s="146"/>
      <c r="T70" s="146"/>
      <c r="U70" s="146"/>
    </row>
    <row r="71" spans="1:21" x14ac:dyDescent="0.2">
      <c r="A71" s="105">
        <v>18</v>
      </c>
      <c r="B71" s="106">
        <f t="shared" si="18"/>
        <v>1.3120627774811476E-2</v>
      </c>
      <c r="C71" s="76">
        <f t="shared" si="19"/>
        <v>0.99646069863679065</v>
      </c>
      <c r="D71" s="107">
        <f t="shared" si="24"/>
        <v>0.14599898507102529</v>
      </c>
      <c r="E71" s="37"/>
      <c r="F71" s="108">
        <f t="shared" si="20"/>
        <v>2.9521412493325855E-3</v>
      </c>
      <c r="G71" s="109">
        <f t="shared" si="21"/>
        <v>0.2242036571932782</v>
      </c>
      <c r="H71" s="109">
        <f t="shared" si="22"/>
        <v>2.1521708533897219E-2</v>
      </c>
      <c r="J71" s="116">
        <f t="shared" si="23"/>
        <v>0.12447727653712808</v>
      </c>
      <c r="K71" s="25">
        <f t="shared" si="25"/>
        <v>71</v>
      </c>
      <c r="L71" s="122"/>
      <c r="M71" s="37"/>
      <c r="N71" s="146"/>
      <c r="O71" s="146"/>
      <c r="P71" s="146"/>
      <c r="Q71" s="122"/>
      <c r="R71" s="37"/>
      <c r="S71" s="146"/>
      <c r="T71" s="146"/>
      <c r="U71" s="146"/>
    </row>
    <row r="72" spans="1:21" x14ac:dyDescent="0.2">
      <c r="A72" s="105">
        <v>20</v>
      </c>
      <c r="B72" s="106">
        <f t="shared" si="18"/>
        <v>1.3163291712854106E-2</v>
      </c>
      <c r="C72" s="112">
        <f t="shared" si="19"/>
        <v>0.99970085895824801</v>
      </c>
      <c r="D72" s="107">
        <f t="shared" si="24"/>
        <v>0.17230950767780137</v>
      </c>
      <c r="E72" s="37"/>
      <c r="F72" s="108">
        <f t="shared" si="20"/>
        <v>3.2908229282135278E-3</v>
      </c>
      <c r="G72" s="109">
        <f t="shared" si="21"/>
        <v>0.24992521473956214</v>
      </c>
      <c r="H72" s="109">
        <f t="shared" si="22"/>
        <v>2.7770632053462377E-2</v>
      </c>
      <c r="J72" s="116">
        <f t="shared" si="23"/>
        <v>0.14453887562433898</v>
      </c>
      <c r="K72" s="25">
        <f t="shared" si="25"/>
        <v>72</v>
      </c>
      <c r="L72" s="122"/>
      <c r="M72" s="37"/>
      <c r="N72" s="146"/>
      <c r="O72" s="146"/>
      <c r="P72" s="146"/>
      <c r="Q72" s="122"/>
      <c r="R72" s="37"/>
      <c r="S72" s="146"/>
      <c r="T72" s="146"/>
      <c r="U72" s="146"/>
    </row>
    <row r="73" spans="1:21" x14ac:dyDescent="0.2">
      <c r="A73" s="105">
        <v>22</v>
      </c>
      <c r="B73" s="106">
        <f t="shared" si="18"/>
        <v>1.3068378283733357E-2</v>
      </c>
      <c r="C73" s="76">
        <f t="shared" si="19"/>
        <v>0.99249255280743698</v>
      </c>
      <c r="D73" s="107">
        <f t="shared" si="24"/>
        <v>0.19856068668923327</v>
      </c>
      <c r="E73" s="37"/>
      <c r="F73" s="108">
        <f t="shared" si="20"/>
        <v>3.5938040280266721E-3</v>
      </c>
      <c r="G73" s="109">
        <f t="shared" si="21"/>
        <v>0.27293545202204511</v>
      </c>
      <c r="H73" s="109">
        <f t="shared" si="22"/>
        <v>3.4661168496362416E-2</v>
      </c>
      <c r="J73" s="116">
        <f t="shared" si="23"/>
        <v>0.16389951819287085</v>
      </c>
      <c r="K73" s="25">
        <f t="shared" si="25"/>
        <v>73</v>
      </c>
      <c r="L73" s="122"/>
      <c r="M73" s="37"/>
      <c r="N73" s="146"/>
      <c r="O73" s="146"/>
      <c r="P73" s="146"/>
      <c r="Q73" s="122"/>
      <c r="R73" s="37"/>
      <c r="S73" s="146"/>
      <c r="T73" s="146"/>
      <c r="U73" s="146"/>
    </row>
    <row r="74" spans="1:21" x14ac:dyDescent="0.2">
      <c r="A74" s="105">
        <v>24</v>
      </c>
      <c r="B74" s="106">
        <f t="shared" si="18"/>
        <v>1.2873239480164512E-2</v>
      </c>
      <c r="C74" s="76">
        <f t="shared" si="19"/>
        <v>0.97767251889803419</v>
      </c>
      <c r="D74" s="107">
        <f t="shared" si="24"/>
        <v>0.22451640050149793</v>
      </c>
      <c r="E74" s="37"/>
      <c r="F74" s="108">
        <f t="shared" si="20"/>
        <v>3.8619718440493635E-3</v>
      </c>
      <c r="G74" s="109">
        <f t="shared" si="21"/>
        <v>0.29330175566941102</v>
      </c>
      <c r="H74" s="109">
        <f t="shared" si="22"/>
        <v>4.2122621178861196E-2</v>
      </c>
      <c r="J74" s="116">
        <f t="shared" si="23"/>
        <v>0.18239377932263673</v>
      </c>
      <c r="K74" s="25">
        <f t="shared" si="25"/>
        <v>74</v>
      </c>
      <c r="L74" s="122"/>
      <c r="M74" s="37"/>
      <c r="N74" s="146"/>
      <c r="O74" s="146"/>
      <c r="P74" s="146"/>
      <c r="Q74" s="122"/>
      <c r="R74" s="37"/>
      <c r="S74" s="146"/>
      <c r="T74" s="146"/>
      <c r="U74" s="146"/>
    </row>
    <row r="75" spans="1:21" x14ac:dyDescent="0.2">
      <c r="A75" s="105">
        <v>26</v>
      </c>
      <c r="B75" s="113">
        <f t="shared" si="18"/>
        <v>1.2606322218546843E-2</v>
      </c>
      <c r="C75" s="76">
        <f t="shared" si="19"/>
        <v>0.95740118999863766</v>
      </c>
      <c r="D75" s="107">
        <f t="shared" si="24"/>
        <v>0.25000594318454161</v>
      </c>
      <c r="E75" s="37"/>
      <c r="F75" s="108">
        <f t="shared" si="20"/>
        <v>4.0970547210277273E-3</v>
      </c>
      <c r="G75" s="109">
        <f t="shared" si="21"/>
        <v>0.31115538674955751</v>
      </c>
      <c r="H75" s="109">
        <f t="shared" si="22"/>
        <v>5.0086989623752812E-2</v>
      </c>
      <c r="J75" s="116">
        <f t="shared" si="23"/>
        <v>0.19991895356078881</v>
      </c>
      <c r="K75" s="25">
        <f t="shared" si="25"/>
        <v>75</v>
      </c>
      <c r="L75" s="122"/>
      <c r="M75" s="37"/>
      <c r="N75" s="146"/>
      <c r="O75" s="146"/>
      <c r="P75" s="146"/>
      <c r="Q75" s="122"/>
      <c r="R75" s="37"/>
      <c r="S75" s="146"/>
      <c r="T75" s="146"/>
      <c r="U75" s="146"/>
    </row>
    <row r="76" spans="1:21" x14ac:dyDescent="0.2">
      <c r="A76" s="105">
        <v>28</v>
      </c>
      <c r="B76" s="106">
        <f t="shared" si="18"/>
        <v>1.2289229912904416E-2</v>
      </c>
      <c r="C76" s="114">
        <f t="shared" si="19"/>
        <v>0.93331926146322164</v>
      </c>
      <c r="D76" s="107">
        <f t="shared" si="24"/>
        <v>0.27490835453309048</v>
      </c>
      <c r="E76" s="37"/>
      <c r="F76" s="108">
        <f t="shared" si="20"/>
        <v>4.3012304695165468E-3</v>
      </c>
      <c r="G76" s="109">
        <f t="shared" si="21"/>
        <v>0.32666174151212773</v>
      </c>
      <c r="H76" s="109">
        <f t="shared" si="22"/>
        <v>5.8490231107912842E-2</v>
      </c>
      <c r="J76" s="116">
        <f t="shared" si="23"/>
        <v>0.21641812342517763</v>
      </c>
      <c r="K76" s="25">
        <f t="shared" si="25"/>
        <v>76</v>
      </c>
      <c r="L76" s="122"/>
      <c r="M76" s="37"/>
      <c r="N76" s="146"/>
      <c r="O76" s="146"/>
      <c r="P76" s="146"/>
      <c r="Q76" s="122"/>
      <c r="R76" s="37"/>
      <c r="S76" s="146"/>
      <c r="T76" s="146"/>
      <c r="U76" s="146"/>
    </row>
    <row r="77" spans="1:21" x14ac:dyDescent="0.2">
      <c r="A77" s="105">
        <v>30</v>
      </c>
      <c r="B77" s="106">
        <f t="shared" si="18"/>
        <v>1.1938338039934269E-2</v>
      </c>
      <c r="C77" s="114">
        <f t="shared" si="19"/>
        <v>0.90667038711918679</v>
      </c>
      <c r="D77" s="107">
        <f t="shared" si="24"/>
        <v>0.29914041759825327</v>
      </c>
      <c r="E77" s="37"/>
      <c r="F77" s="108">
        <f t="shared" si="20"/>
        <v>4.4768767649753542E-3</v>
      </c>
      <c r="G77" s="109">
        <f t="shared" si="21"/>
        <v>0.34000139516969535</v>
      </c>
      <c r="H77" s="109">
        <f t="shared" si="22"/>
        <v>6.7272891066167642E-2</v>
      </c>
      <c r="J77" s="116">
        <f t="shared" si="23"/>
        <v>0.23186752653208564</v>
      </c>
      <c r="K77" s="25">
        <f t="shared" si="25"/>
        <v>77</v>
      </c>
      <c r="L77" s="122"/>
      <c r="M77" s="37"/>
      <c r="N77" s="146"/>
      <c r="O77" s="146"/>
      <c r="P77" s="146"/>
      <c r="Q77" s="122"/>
      <c r="R77" s="37"/>
      <c r="S77" s="146"/>
      <c r="T77" s="146"/>
      <c r="U77" s="146"/>
    </row>
    <row r="78" spans="1:21" x14ac:dyDescent="0.2">
      <c r="A78" s="105">
        <v>33</v>
      </c>
      <c r="B78" s="115">
        <f t="shared" si="18"/>
        <v>1.1374875133765661E-2</v>
      </c>
      <c r="C78" s="76">
        <f t="shared" si="19"/>
        <v>0.8638775687591862</v>
      </c>
      <c r="D78" s="107">
        <f t="shared" si="24"/>
        <v>0.33411816272537576</v>
      </c>
      <c r="E78" s="37"/>
      <c r="F78" s="108">
        <f t="shared" si="20"/>
        <v>4.692135992678338E-3</v>
      </c>
      <c r="G78" s="109">
        <f t="shared" si="21"/>
        <v>0.35634949711316455</v>
      </c>
      <c r="H78" s="109">
        <f t="shared" si="22"/>
        <v>8.1040091182417062E-2</v>
      </c>
      <c r="J78" s="116">
        <f t="shared" si="23"/>
        <v>0.25307807154295869</v>
      </c>
      <c r="K78" s="25">
        <f t="shared" si="25"/>
        <v>78</v>
      </c>
      <c r="L78" s="122"/>
      <c r="M78" s="37"/>
      <c r="N78" s="146"/>
      <c r="O78" s="146"/>
      <c r="P78" s="146"/>
      <c r="Q78" s="122"/>
      <c r="R78" s="37"/>
      <c r="S78" s="146"/>
      <c r="T78" s="146"/>
      <c r="U78" s="146"/>
    </row>
    <row r="79" spans="1:21" x14ac:dyDescent="0.2">
      <c r="A79" s="105">
        <v>36</v>
      </c>
      <c r="B79" s="106">
        <f t="shared" si="18"/>
        <v>1.0792274318487333E-2</v>
      </c>
      <c r="C79" s="76">
        <f t="shared" si="19"/>
        <v>0.81963130056361211</v>
      </c>
      <c r="D79" s="107">
        <f t="shared" si="24"/>
        <v>0.36737087156274717</v>
      </c>
      <c r="E79" s="37"/>
      <c r="F79" s="108">
        <f t="shared" si="20"/>
        <v>4.8565234433193081E-3</v>
      </c>
      <c r="G79" s="109">
        <f t="shared" si="21"/>
        <v>0.3688340852536261</v>
      </c>
      <c r="H79" s="109">
        <f t="shared" si="22"/>
        <v>9.5374857024991502E-2</v>
      </c>
      <c r="J79" s="116">
        <f t="shared" si="23"/>
        <v>0.27199601453775568</v>
      </c>
      <c r="K79" s="25">
        <f t="shared" si="25"/>
        <v>79</v>
      </c>
      <c r="L79" s="122"/>
      <c r="M79" s="37"/>
      <c r="N79" s="146"/>
      <c r="O79" s="146"/>
      <c r="P79" s="146"/>
      <c r="Q79" s="122"/>
      <c r="R79" s="37"/>
      <c r="S79" s="146"/>
      <c r="T79" s="146"/>
      <c r="U79" s="146"/>
    </row>
    <row r="80" spans="1:21" x14ac:dyDescent="0.2">
      <c r="A80" s="105">
        <v>40</v>
      </c>
      <c r="B80" s="106">
        <f t="shared" si="18"/>
        <v>1.0018022042161824E-2</v>
      </c>
      <c r="C80" s="76">
        <f t="shared" si="19"/>
        <v>0.76082984857291058</v>
      </c>
      <c r="D80" s="107">
        <f t="shared" si="24"/>
        <v>0.40898600931642198</v>
      </c>
      <c r="E80" s="37"/>
      <c r="F80" s="108">
        <f t="shared" si="20"/>
        <v>5.0090110210809155E-3</v>
      </c>
      <c r="G80" s="109">
        <f t="shared" si="21"/>
        <v>0.38041492428645557</v>
      </c>
      <c r="H80" s="109">
        <f t="shared" si="22"/>
        <v>0.11512913587549381</v>
      </c>
      <c r="J80" s="116">
        <f t="shared" si="23"/>
        <v>0.29385687344092815</v>
      </c>
      <c r="K80" s="25">
        <f t="shared" si="25"/>
        <v>80</v>
      </c>
      <c r="L80" s="122"/>
      <c r="M80" s="37"/>
      <c r="N80" s="146"/>
      <c r="O80" s="146"/>
      <c r="P80" s="146"/>
      <c r="Q80" s="122"/>
      <c r="R80" s="37"/>
      <c r="S80" s="146"/>
      <c r="T80" s="146"/>
      <c r="U80" s="146"/>
    </row>
    <row r="81" spans="1:21" x14ac:dyDescent="0.2">
      <c r="A81" s="105">
        <v>43</v>
      </c>
      <c r="B81" s="106">
        <f t="shared" si="18"/>
        <v>9.4541217175861045E-3</v>
      </c>
      <c r="C81" s="76">
        <f t="shared" si="19"/>
        <v>0.71800380998450097</v>
      </c>
      <c r="D81" s="107">
        <f t="shared" si="24"/>
        <v>0.43818940308318477</v>
      </c>
      <c r="E81" s="37"/>
      <c r="F81" s="108">
        <f t="shared" si="20"/>
        <v>5.0815904232025437E-3</v>
      </c>
      <c r="G81" s="109">
        <f t="shared" si="21"/>
        <v>0.38592704786667026</v>
      </c>
      <c r="H81" s="109">
        <f t="shared" si="22"/>
        <v>0.13027310884451077</v>
      </c>
      <c r="J81" s="116">
        <f t="shared" si="23"/>
        <v>0.307916294238674</v>
      </c>
      <c r="K81" s="25">
        <f t="shared" si="25"/>
        <v>81</v>
      </c>
      <c r="L81" s="122"/>
      <c r="M81" s="37"/>
      <c r="N81" s="146"/>
      <c r="O81" s="146"/>
      <c r="P81" s="146"/>
      <c r="Q81" s="122"/>
      <c r="R81" s="37"/>
      <c r="S81" s="146"/>
      <c r="T81" s="146"/>
      <c r="U81" s="146"/>
    </row>
    <row r="82" spans="1:21" x14ac:dyDescent="0.2">
      <c r="A82" s="105">
        <v>46</v>
      </c>
      <c r="B82" s="106">
        <f t="shared" si="18"/>
        <v>8.9121105203034106E-3</v>
      </c>
      <c r="C82" s="76">
        <f t="shared" si="19"/>
        <v>0.67684016556269</v>
      </c>
      <c r="D82" s="107">
        <f t="shared" si="24"/>
        <v>0.46573271934215571</v>
      </c>
      <c r="E82" s="37"/>
      <c r="F82" s="108">
        <f t="shared" si="20"/>
        <v>5.1244635491744708E-3</v>
      </c>
      <c r="G82" s="109">
        <f t="shared" si="21"/>
        <v>0.38918309519854755</v>
      </c>
      <c r="H82" s="109">
        <f t="shared" si="22"/>
        <v>0.14558899660207605</v>
      </c>
      <c r="J82" s="116">
        <f t="shared" si="23"/>
        <v>0.32014372274007963</v>
      </c>
      <c r="K82" s="25">
        <f t="shared" si="25"/>
        <v>82</v>
      </c>
      <c r="L82" s="122"/>
      <c r="M82" s="37"/>
      <c r="N82" s="146"/>
      <c r="O82" s="146"/>
      <c r="P82" s="146"/>
      <c r="Q82" s="122"/>
      <c r="R82" s="37"/>
      <c r="S82" s="146"/>
      <c r="T82" s="146"/>
      <c r="U82" s="146"/>
    </row>
    <row r="83" spans="1:21" x14ac:dyDescent="0.2">
      <c r="A83" s="105">
        <v>50</v>
      </c>
      <c r="B83" s="106">
        <f t="shared" si="18"/>
        <v>8.229519107452744E-3</v>
      </c>
      <c r="C83" s="76">
        <f t="shared" si="19"/>
        <v>0.62500000000000056</v>
      </c>
      <c r="D83" s="107">
        <f t="shared" si="24"/>
        <v>0.5</v>
      </c>
      <c r="E83" s="37"/>
      <c r="F83" s="108">
        <f t="shared" si="20"/>
        <v>5.1434494421579704E-3</v>
      </c>
      <c r="G83" s="109">
        <f t="shared" si="21"/>
        <v>0.39062500000000078</v>
      </c>
      <c r="H83" s="109">
        <f t="shared" si="22"/>
        <v>0.16613798748279268</v>
      </c>
      <c r="J83" s="116">
        <f t="shared" si="23"/>
        <v>0.33386201251720732</v>
      </c>
      <c r="K83" s="25">
        <f t="shared" si="25"/>
        <v>83</v>
      </c>
      <c r="L83" s="122"/>
      <c r="M83" s="37"/>
      <c r="N83" s="146"/>
      <c r="O83" s="146"/>
      <c r="P83" s="146"/>
      <c r="Q83" s="122"/>
      <c r="R83" s="37"/>
      <c r="S83" s="146"/>
      <c r="T83" s="146"/>
      <c r="U83" s="146"/>
    </row>
    <row r="84" spans="1:21" x14ac:dyDescent="0.2">
      <c r="A84" s="105">
        <v>55</v>
      </c>
      <c r="B84" s="106">
        <f t="shared" si="18"/>
        <v>7.4453189628718988E-3</v>
      </c>
      <c r="C84" s="76">
        <f t="shared" si="19"/>
        <v>0.56544304606824936</v>
      </c>
      <c r="D84" s="107">
        <f t="shared" si="24"/>
        <v>0.53915477325889882</v>
      </c>
      <c r="E84" s="37"/>
      <c r="F84" s="108">
        <f t="shared" si="20"/>
        <v>5.1186567869744414E-3</v>
      </c>
      <c r="G84" s="109">
        <f t="shared" si="21"/>
        <v>0.38874209417192235</v>
      </c>
      <c r="H84" s="109">
        <f t="shared" si="22"/>
        <v>0.19181288563670598</v>
      </c>
      <c r="J84" s="116">
        <f t="shared" si="23"/>
        <v>0.34734188762219287</v>
      </c>
      <c r="K84" s="25">
        <f t="shared" si="25"/>
        <v>84</v>
      </c>
      <c r="L84" s="122"/>
      <c r="M84" s="37"/>
      <c r="N84" s="146"/>
      <c r="O84" s="146"/>
      <c r="P84" s="146"/>
      <c r="Q84" s="122"/>
      <c r="R84" s="37"/>
      <c r="S84" s="146"/>
      <c r="T84" s="146"/>
      <c r="U84" s="146"/>
    </row>
    <row r="85" spans="1:21" x14ac:dyDescent="0.2">
      <c r="A85" s="105">
        <v>60</v>
      </c>
      <c r="B85" s="106">
        <f t="shared" si="18"/>
        <v>6.7377409509316553E-3</v>
      </c>
      <c r="C85" s="76">
        <f t="shared" si="19"/>
        <v>0.51170524539139595</v>
      </c>
      <c r="D85" s="107">
        <f t="shared" si="24"/>
        <v>0.57458111574788906</v>
      </c>
      <c r="E85" s="37"/>
      <c r="F85" s="108">
        <f t="shared" si="20"/>
        <v>5.0533057131987406E-3</v>
      </c>
      <c r="G85" s="109">
        <f t="shared" si="21"/>
        <v>0.38377893404354696</v>
      </c>
      <c r="H85" s="109">
        <f t="shared" si="22"/>
        <v>0.21725714462011758</v>
      </c>
      <c r="J85" s="116">
        <f t="shared" si="23"/>
        <v>0.35732397112777148</v>
      </c>
      <c r="K85" s="25">
        <f t="shared" si="25"/>
        <v>85</v>
      </c>
      <c r="L85" s="122"/>
      <c r="M85" s="37"/>
      <c r="N85" s="146"/>
      <c r="O85" s="146"/>
      <c r="P85" s="146"/>
      <c r="Q85" s="122"/>
      <c r="R85" s="37"/>
      <c r="S85" s="146"/>
      <c r="T85" s="146"/>
      <c r="U85" s="146"/>
    </row>
    <row r="86" spans="1:21" x14ac:dyDescent="0.2">
      <c r="A86" s="105">
        <v>65</v>
      </c>
      <c r="B86" s="106">
        <f t="shared" si="18"/>
        <v>6.1028094700689532E-3</v>
      </c>
      <c r="C86" s="76">
        <f t="shared" si="19"/>
        <v>0.46348466647812586</v>
      </c>
      <c r="D86" s="107">
        <f t="shared" si="24"/>
        <v>0.60665335653484698</v>
      </c>
      <c r="E86" s="37"/>
      <c r="F86" s="108">
        <f t="shared" si="20"/>
        <v>4.9585326944310325E-3</v>
      </c>
      <c r="G86" s="109">
        <f t="shared" si="21"/>
        <v>0.37658129151347791</v>
      </c>
      <c r="H86" s="109">
        <f t="shared" si="22"/>
        <v>0.24229705064812118</v>
      </c>
      <c r="J86" s="116">
        <f t="shared" si="23"/>
        <v>0.3643563058867258</v>
      </c>
      <c r="K86" s="25">
        <f t="shared" si="25"/>
        <v>86</v>
      </c>
      <c r="L86" s="122"/>
      <c r="M86" s="37"/>
      <c r="N86" s="146"/>
      <c r="O86" s="146"/>
      <c r="P86" s="146"/>
      <c r="Q86" s="122"/>
      <c r="R86" s="37"/>
      <c r="S86" s="146"/>
      <c r="T86" s="146"/>
      <c r="U86" s="146"/>
    </row>
    <row r="87" spans="1:21" x14ac:dyDescent="0.2">
      <c r="A87" s="105">
        <v>70</v>
      </c>
      <c r="B87" s="106">
        <f t="shared" si="18"/>
        <v>5.534691496669469E-3</v>
      </c>
      <c r="C87" s="76">
        <f t="shared" si="19"/>
        <v>0.42033831384943832</v>
      </c>
      <c r="D87" s="107">
        <f t="shared" si="24"/>
        <v>0.63572059552773685</v>
      </c>
      <c r="E87" s="37"/>
      <c r="F87" s="108">
        <f t="shared" si="20"/>
        <v>4.8428550595857956E-3</v>
      </c>
      <c r="G87" s="109">
        <f t="shared" si="21"/>
        <v>0.36779602461825933</v>
      </c>
      <c r="H87" s="109">
        <f t="shared" si="22"/>
        <v>0.26680774162794285</v>
      </c>
      <c r="J87" s="116">
        <f t="shared" si="23"/>
        <v>0.368912853899794</v>
      </c>
      <c r="K87" s="25">
        <f t="shared" si="25"/>
        <v>87</v>
      </c>
      <c r="L87" s="122"/>
      <c r="M87" s="37"/>
      <c r="N87" s="146"/>
      <c r="O87" s="146"/>
      <c r="P87" s="146"/>
      <c r="Q87" s="122"/>
      <c r="R87" s="37"/>
      <c r="S87" s="146"/>
      <c r="T87" s="146"/>
      <c r="U87" s="146"/>
    </row>
    <row r="88" spans="1:21" x14ac:dyDescent="0.2">
      <c r="A88" s="105">
        <v>75</v>
      </c>
      <c r="B88" s="106">
        <f t="shared" si="18"/>
        <v>5.0269593615894295E-3</v>
      </c>
      <c r="C88" s="76">
        <f t="shared" si="19"/>
        <v>0.38177803100889601</v>
      </c>
      <c r="D88" s="107">
        <f t="shared" si="24"/>
        <v>0.66210090916152975</v>
      </c>
      <c r="E88" s="37"/>
      <c r="F88" s="108">
        <f t="shared" si="20"/>
        <v>4.7127744014900889E-3</v>
      </c>
      <c r="G88" s="109">
        <f t="shared" si="21"/>
        <v>0.35791690407083998</v>
      </c>
      <c r="H88" s="109">
        <f t="shared" si="22"/>
        <v>0.29070168144538672</v>
      </c>
      <c r="J88" s="116">
        <f t="shared" si="23"/>
        <v>0.37139922771614303</v>
      </c>
      <c r="K88" s="25">
        <f t="shared" si="25"/>
        <v>88</v>
      </c>
      <c r="L88" s="122"/>
      <c r="M88" s="37"/>
      <c r="N88" s="146"/>
      <c r="O88" s="146"/>
      <c r="P88" s="146"/>
      <c r="Q88" s="122"/>
      <c r="R88" s="37"/>
      <c r="S88" s="146"/>
      <c r="T88" s="146"/>
      <c r="U88" s="146"/>
    </row>
    <row r="89" spans="1:21" x14ac:dyDescent="0.2">
      <c r="A89" s="105">
        <v>80</v>
      </c>
      <c r="B89" s="106">
        <f t="shared" si="18"/>
        <v>4.5732451197828461E-3</v>
      </c>
      <c r="C89" s="76">
        <f t="shared" si="19"/>
        <v>0.34732019727322738</v>
      </c>
      <c r="D89" s="107">
        <f t="shared" si="24"/>
        <v>0.68608019666054243</v>
      </c>
      <c r="E89" s="37" t="s">
        <v>75</v>
      </c>
      <c r="F89" s="108">
        <f t="shared" si="20"/>
        <v>4.573245119782853E-3</v>
      </c>
      <c r="G89" s="109">
        <f t="shared" si="21"/>
        <v>0.34732019727322794</v>
      </c>
      <c r="H89" s="109">
        <f t="shared" si="22"/>
        <v>0.31391980333945779</v>
      </c>
      <c r="I89" s="118" t="s">
        <v>62</v>
      </c>
      <c r="J89" s="134">
        <f t="shared" si="23"/>
        <v>0.37216039332108464</v>
      </c>
      <c r="K89" s="25">
        <f t="shared" si="25"/>
        <v>89</v>
      </c>
      <c r="L89" s="122"/>
      <c r="M89" s="37"/>
      <c r="N89" s="146"/>
      <c r="O89" s="146"/>
      <c r="P89" s="146"/>
      <c r="Q89" s="122"/>
      <c r="R89" s="37"/>
      <c r="S89" s="146"/>
      <c r="T89" s="146"/>
      <c r="U89" s="146"/>
    </row>
    <row r="90" spans="1:21" x14ac:dyDescent="0.2">
      <c r="A90" s="105">
        <v>90</v>
      </c>
      <c r="B90" s="106">
        <f t="shared" si="18"/>
        <v>3.8044421703621028E-3</v>
      </c>
      <c r="C90" s="76">
        <f t="shared" si="19"/>
        <v>0.28893260048730862</v>
      </c>
      <c r="D90" s="107">
        <f t="shared" si="24"/>
        <v>0.72782672247167868</v>
      </c>
      <c r="E90" s="37"/>
      <c r="F90" s="108">
        <f t="shared" si="20"/>
        <v>4.2799974416573659E-3</v>
      </c>
      <c r="G90" s="109">
        <f t="shared" si="21"/>
        <v>0.32504917554822221</v>
      </c>
      <c r="H90" s="109">
        <f t="shared" si="22"/>
        <v>0.35819547543364927</v>
      </c>
      <c r="J90" s="116">
        <f t="shared" si="23"/>
        <v>0.36963124703802941</v>
      </c>
      <c r="K90" s="25">
        <f t="shared" si="25"/>
        <v>90</v>
      </c>
      <c r="L90" s="122"/>
      <c r="M90" s="37"/>
      <c r="N90" s="146"/>
      <c r="O90" s="146"/>
      <c r="P90" s="146"/>
      <c r="Q90" s="122"/>
      <c r="R90" s="37"/>
      <c r="S90" s="146"/>
      <c r="T90" s="146"/>
      <c r="U90" s="146"/>
    </row>
    <row r="91" spans="1:21" x14ac:dyDescent="0.2">
      <c r="A91" s="105">
        <v>100</v>
      </c>
      <c r="B91" s="106">
        <f t="shared" si="18"/>
        <v>3.1868158761097611E-3</v>
      </c>
      <c r="C91" s="76">
        <f t="shared" si="19"/>
        <v>0.2420262832569211</v>
      </c>
      <c r="D91" s="107">
        <f t="shared" si="24"/>
        <v>0.76267198722878393</v>
      </c>
      <c r="E91" s="37"/>
      <c r="F91" s="108">
        <f t="shared" ref="F91:F122" si="26">_xlfn.LOGNORM.DIST(A91,H$17,H$20,0)</f>
        <v>3.9835198451372037E-3</v>
      </c>
      <c r="G91" s="109">
        <f t="shared" ref="G91:G122" si="27">F91*D$55</f>
        <v>0.3025328540711516</v>
      </c>
      <c r="H91" s="109">
        <f t="shared" ref="H91:H122" si="28">_xlfn.LOGNORM.DIST(A91,H$17,H$20,1)</f>
        <v>0.39950994811796647</v>
      </c>
      <c r="J91" s="116">
        <f t="shared" si="23"/>
        <v>0.36316203911081746</v>
      </c>
      <c r="K91" s="25">
        <f t="shared" si="25"/>
        <v>91</v>
      </c>
      <c r="L91" s="122"/>
      <c r="M91" s="37"/>
      <c r="N91" s="146"/>
      <c r="O91" s="146"/>
      <c r="P91" s="146"/>
      <c r="Q91" s="122"/>
      <c r="R91" s="37"/>
      <c r="S91" s="146"/>
      <c r="T91" s="146"/>
      <c r="U91" s="146"/>
    </row>
    <row r="92" spans="1:21" x14ac:dyDescent="0.2">
      <c r="A92" s="105">
        <v>110</v>
      </c>
      <c r="B92" s="106">
        <f t="shared" si="18"/>
        <v>2.6874691038387428E-3</v>
      </c>
      <c r="C92" s="76">
        <f t="shared" si="19"/>
        <v>0.20410283613997438</v>
      </c>
      <c r="D92" s="107">
        <f t="shared" si="24"/>
        <v>0.79195647855171347</v>
      </c>
      <c r="E92" s="37"/>
      <c r="F92" s="108">
        <f t="shared" si="26"/>
        <v>3.6952700177782737E-3</v>
      </c>
      <c r="G92" s="109">
        <f t="shared" si="27"/>
        <v>0.28064139969246499</v>
      </c>
      <c r="H92" s="109">
        <f t="shared" si="28"/>
        <v>0.43789387163687898</v>
      </c>
      <c r="J92" s="116">
        <f t="shared" si="23"/>
        <v>0.35406260691483449</v>
      </c>
      <c r="K92" s="25">
        <f t="shared" si="25"/>
        <v>92</v>
      </c>
      <c r="L92" s="122"/>
      <c r="M92" s="37"/>
      <c r="N92" s="146"/>
      <c r="O92" s="146"/>
      <c r="P92" s="146"/>
      <c r="Q92" s="122"/>
      <c r="R92" s="37"/>
      <c r="S92" s="146"/>
      <c r="T92" s="146"/>
      <c r="U92" s="146"/>
    </row>
    <row r="93" spans="1:21" x14ac:dyDescent="0.2">
      <c r="A93" s="105">
        <v>120</v>
      </c>
      <c r="B93" s="106">
        <f t="shared" si="18"/>
        <v>2.2809184938808315E-3</v>
      </c>
      <c r="C93" s="76">
        <f t="shared" si="19"/>
        <v>0.17322689698654506</v>
      </c>
      <c r="D93" s="107">
        <f t="shared" si="24"/>
        <v>0.81673003877160166</v>
      </c>
      <c r="E93" s="37"/>
      <c r="F93" s="108">
        <f t="shared" si="26"/>
        <v>3.4213777408212483E-3</v>
      </c>
      <c r="G93" s="109">
        <f t="shared" si="27"/>
        <v>0.25984034547981771</v>
      </c>
      <c r="H93" s="109">
        <f t="shared" si="28"/>
        <v>0.47346354919952244</v>
      </c>
      <c r="J93" s="116">
        <f t="shared" si="23"/>
        <v>0.34326648957207923</v>
      </c>
      <c r="K93" s="25">
        <f t="shared" si="25"/>
        <v>93</v>
      </c>
      <c r="L93" s="122"/>
      <c r="M93" s="37"/>
      <c r="N93" s="146"/>
      <c r="O93" s="146"/>
      <c r="P93" s="146"/>
      <c r="Q93" s="122"/>
      <c r="R93" s="37"/>
      <c r="S93" s="146"/>
      <c r="T93" s="146"/>
      <c r="U93" s="146"/>
    </row>
    <row r="94" spans="1:21" x14ac:dyDescent="0.2">
      <c r="A94" s="105">
        <v>130</v>
      </c>
      <c r="B94" s="106">
        <f t="shared" si="18"/>
        <v>1.9475661404493639E-3</v>
      </c>
      <c r="C94" s="76">
        <f t="shared" si="19"/>
        <v>0.14791008100078623</v>
      </c>
      <c r="D94" s="107">
        <f t="shared" si="24"/>
        <v>0.83781834412098366</v>
      </c>
      <c r="E94" s="37"/>
      <c r="F94" s="108">
        <f t="shared" si="26"/>
        <v>3.1647949782302167E-3</v>
      </c>
      <c r="G94" s="109">
        <f t="shared" si="27"/>
        <v>0.24035388162627769</v>
      </c>
      <c r="H94" s="109">
        <f t="shared" si="28"/>
        <v>0.50637932807774688</v>
      </c>
      <c r="J94" s="116">
        <f t="shared" si="23"/>
        <v>0.33143901604323678</v>
      </c>
      <c r="K94" s="25">
        <f t="shared" si="25"/>
        <v>94</v>
      </c>
      <c r="L94" s="122"/>
      <c r="M94" s="37"/>
      <c r="N94" s="146"/>
      <c r="O94" s="146"/>
      <c r="P94" s="146"/>
      <c r="Q94" s="122"/>
      <c r="R94" s="37"/>
      <c r="S94" s="146"/>
      <c r="T94" s="146"/>
      <c r="U94" s="146"/>
    </row>
    <row r="95" spans="1:21" x14ac:dyDescent="0.2">
      <c r="A95" s="105">
        <v>140</v>
      </c>
      <c r="B95" s="106">
        <f t="shared" si="18"/>
        <v>1.6723351652904051E-3</v>
      </c>
      <c r="C95" s="76">
        <f t="shared" si="19"/>
        <v>0.12700735786128142</v>
      </c>
      <c r="D95" s="107">
        <f t="shared" si="24"/>
        <v>0.85587472168695422</v>
      </c>
      <c r="E95" s="37"/>
      <c r="F95" s="108">
        <f t="shared" si="26"/>
        <v>2.9265865392582085E-3</v>
      </c>
      <c r="G95" s="109">
        <f t="shared" si="27"/>
        <v>0.2222628762572425</v>
      </c>
      <c r="H95" s="109">
        <f t="shared" si="28"/>
        <v>0.53682081539153215</v>
      </c>
      <c r="J95" s="116">
        <f t="shared" si="23"/>
        <v>0.31905390629542207</v>
      </c>
      <c r="K95" s="25">
        <f t="shared" si="25"/>
        <v>95</v>
      </c>
      <c r="L95" s="122"/>
      <c r="M95" s="37"/>
      <c r="N95" s="146"/>
      <c r="O95" s="146"/>
      <c r="P95" s="146"/>
      <c r="Q95" s="122"/>
      <c r="R95" s="37"/>
      <c r="S95" s="146"/>
      <c r="T95" s="146"/>
      <c r="U95" s="146"/>
    </row>
    <row r="96" spans="1:21" x14ac:dyDescent="0.2">
      <c r="A96" s="105">
        <v>150</v>
      </c>
      <c r="B96" s="106">
        <f t="shared" si="18"/>
        <v>1.4435799746478335E-3</v>
      </c>
      <c r="C96" s="76">
        <f t="shared" si="19"/>
        <v>0.10963428997179439</v>
      </c>
      <c r="D96" s="107">
        <f t="shared" si="24"/>
        <v>0.8714196807971486</v>
      </c>
      <c r="E96" s="37"/>
      <c r="F96" s="108">
        <f t="shared" si="26"/>
        <v>2.7067124524646886E-3</v>
      </c>
      <c r="G96" s="109">
        <f t="shared" si="27"/>
        <v>0.20556429369711457</v>
      </c>
      <c r="H96" s="109">
        <f t="shared" si="28"/>
        <v>0.56497224070589802</v>
      </c>
      <c r="J96" s="116">
        <f t="shared" si="23"/>
        <v>0.30644744009125058</v>
      </c>
      <c r="K96" s="25">
        <f t="shared" si="25"/>
        <v>96</v>
      </c>
      <c r="L96" s="122"/>
      <c r="M96" s="37"/>
      <c r="N96" s="146"/>
      <c r="O96" s="146"/>
      <c r="P96" s="146"/>
      <c r="Q96" s="122"/>
      <c r="R96" s="37"/>
      <c r="S96" s="146"/>
      <c r="T96" s="146"/>
      <c r="U96" s="146"/>
    </row>
    <row r="97" spans="1:21" x14ac:dyDescent="0.2">
      <c r="A97" s="105">
        <v>160</v>
      </c>
      <c r="B97" s="106">
        <f t="shared" si="18"/>
        <v>1.2522527552702271E-3</v>
      </c>
      <c r="C97" s="76">
        <f t="shared" si="19"/>
        <v>9.5103731071613754E-2</v>
      </c>
      <c r="D97" s="107">
        <f t="shared" si="24"/>
        <v>0.88487086412450633</v>
      </c>
      <c r="E97" s="37"/>
      <c r="F97" s="108">
        <f t="shared" si="26"/>
        <v>2.5045055105404552E-3</v>
      </c>
      <c r="G97" s="109">
        <f t="shared" si="27"/>
        <v>0.19020746214322759</v>
      </c>
      <c r="H97" s="109">
        <f t="shared" si="28"/>
        <v>0.59101399068357829</v>
      </c>
      <c r="J97" s="116">
        <f t="shared" si="23"/>
        <v>0.29385687344092803</v>
      </c>
      <c r="K97" s="25">
        <f t="shared" si="25"/>
        <v>97</v>
      </c>
      <c r="L97" s="122"/>
      <c r="M97" s="37"/>
      <c r="N97" s="146"/>
      <c r="O97" s="146"/>
      <c r="P97" s="146"/>
      <c r="Q97" s="122"/>
      <c r="R97" s="37"/>
      <c r="S97" s="146"/>
      <c r="T97" s="146"/>
      <c r="U97" s="146"/>
    </row>
    <row r="98" spans="1:21" x14ac:dyDescent="0.2">
      <c r="A98" s="105">
        <v>170</v>
      </c>
      <c r="B98" s="106">
        <f t="shared" si="18"/>
        <v>1.0912769923530805E-3</v>
      </c>
      <c r="C98" s="76">
        <f t="shared" si="19"/>
        <v>8.2878247357492066E-2</v>
      </c>
      <c r="D98" s="107">
        <f t="shared" si="24"/>
        <v>0.89656574196002337</v>
      </c>
      <c r="E98" s="37"/>
      <c r="F98" s="108">
        <f t="shared" si="26"/>
        <v>2.3189636087502935E-3</v>
      </c>
      <c r="G98" s="109">
        <f t="shared" si="27"/>
        <v>0.17611627563467047</v>
      </c>
      <c r="H98" s="109">
        <f t="shared" si="28"/>
        <v>0.61511791752253009</v>
      </c>
      <c r="J98" s="116">
        <f t="shared" si="23"/>
        <v>0.28144782443749328</v>
      </c>
      <c r="K98" s="25">
        <f t="shared" si="25"/>
        <v>98</v>
      </c>
      <c r="L98" s="122"/>
      <c r="M98" s="37"/>
      <c r="N98" s="146"/>
      <c r="O98" s="146"/>
      <c r="P98" s="146"/>
      <c r="Q98" s="122"/>
      <c r="R98" s="37"/>
      <c r="S98" s="146"/>
      <c r="T98" s="146"/>
      <c r="U98" s="146"/>
    </row>
    <row r="99" spans="1:21" x14ac:dyDescent="0.2">
      <c r="A99" s="105">
        <v>180</v>
      </c>
      <c r="B99" s="106">
        <f t="shared" si="18"/>
        <v>9.5507923837588561E-4</v>
      </c>
      <c r="C99" s="76">
        <f t="shared" si="19"/>
        <v>7.2534557146157849E-2</v>
      </c>
      <c r="D99" s="107">
        <f t="shared" si="24"/>
        <v>0.90677887036448712</v>
      </c>
      <c r="E99" s="37"/>
      <c r="F99" s="108">
        <f t="shared" si="26"/>
        <v>2.1489282863457436E-3</v>
      </c>
      <c r="G99" s="109">
        <f t="shared" si="27"/>
        <v>0.16320275357885525</v>
      </c>
      <c r="H99" s="109">
        <f t="shared" si="28"/>
        <v>0.63744495626740927</v>
      </c>
      <c r="J99" s="116">
        <f t="shared" si="23"/>
        <v>0.26933391409707785</v>
      </c>
      <c r="K99" s="25">
        <f t="shared" si="25"/>
        <v>99</v>
      </c>
      <c r="L99" s="122"/>
      <c r="M99" s="37"/>
      <c r="N99" s="146"/>
      <c r="O99" s="146"/>
      <c r="P99" s="146"/>
      <c r="Q99" s="122"/>
      <c r="R99" s="37"/>
      <c r="S99" s="146"/>
      <c r="T99" s="146"/>
      <c r="U99" s="146"/>
    </row>
    <row r="100" spans="1:21" x14ac:dyDescent="0.2">
      <c r="A100" s="105">
        <v>190</v>
      </c>
      <c r="B100" s="106">
        <f t="shared" si="18"/>
        <v>8.3923904081652592E-4</v>
      </c>
      <c r="C100" s="76">
        <f t="shared" si="19"/>
        <v>6.3736944244447286E-2</v>
      </c>
      <c r="D100" s="107">
        <f t="shared" si="24"/>
        <v>0.91573508716361052</v>
      </c>
      <c r="E100" s="37"/>
      <c r="F100" s="108">
        <f t="shared" si="26"/>
        <v>1.9931927219392471E-3</v>
      </c>
      <c r="G100" s="109">
        <f t="shared" si="27"/>
        <v>0.15137524258056217</v>
      </c>
      <c r="H100" s="109">
        <f t="shared" si="28"/>
        <v>0.65814414702039969</v>
      </c>
      <c r="J100" s="116">
        <f t="shared" si="23"/>
        <v>0.25759094014321082</v>
      </c>
      <c r="K100" s="25">
        <f t="shared" si="25"/>
        <v>100</v>
      </c>
      <c r="L100" s="122"/>
      <c r="M100" s="37"/>
      <c r="N100" s="146"/>
      <c r="O100" s="146"/>
      <c r="P100" s="146"/>
      <c r="Q100" s="122"/>
      <c r="R100" s="37"/>
      <c r="S100" s="146"/>
      <c r="T100" s="146"/>
      <c r="U100" s="146"/>
    </row>
    <row r="101" spans="1:21" x14ac:dyDescent="0.2">
      <c r="A101" s="105">
        <v>200</v>
      </c>
      <c r="B101" s="106">
        <f t="shared" si="18"/>
        <v>7.4022629056735238E-4</v>
      </c>
      <c r="C101" s="76">
        <f t="shared" si="19"/>
        <v>5.6217310582051191E-2</v>
      </c>
      <c r="D101" s="107">
        <f t="shared" si="24"/>
        <v>0.92361966637808324</v>
      </c>
      <c r="E101" s="37"/>
      <c r="F101" s="108">
        <f t="shared" si="26"/>
        <v>1.8505657264183809E-3</v>
      </c>
      <c r="G101" s="109">
        <f t="shared" si="27"/>
        <v>0.14054327645512799</v>
      </c>
      <c r="H101" s="109">
        <f t="shared" si="28"/>
        <v>0.67735249992673185</v>
      </c>
      <c r="J101" s="116">
        <f t="shared" si="23"/>
        <v>0.24626716645135138</v>
      </c>
      <c r="K101" s="25">
        <f t="shared" si="25"/>
        <v>101</v>
      </c>
      <c r="L101" s="122"/>
      <c r="M101" s="37"/>
      <c r="N101" s="146"/>
      <c r="O101" s="146"/>
      <c r="P101" s="146"/>
      <c r="Q101" s="122"/>
      <c r="R101" s="37"/>
      <c r="S101" s="146"/>
      <c r="T101" s="146"/>
      <c r="U101" s="146"/>
    </row>
    <row r="102" spans="1:21" x14ac:dyDescent="0.2">
      <c r="A102" s="105">
        <v>210</v>
      </c>
      <c r="B102" s="106">
        <f t="shared" si="18"/>
        <v>6.5520312845006616E-4</v>
      </c>
      <c r="C102" s="76">
        <f t="shared" si="19"/>
        <v>4.9760131781022558E-2</v>
      </c>
      <c r="D102" s="107">
        <f t="shared" si="24"/>
        <v>0.93058618518404435</v>
      </c>
      <c r="E102" s="37"/>
      <c r="F102" s="108">
        <f t="shared" si="26"/>
        <v>1.7199082121814239E-3</v>
      </c>
      <c r="G102" s="109">
        <f t="shared" si="27"/>
        <v>0.13062034592518426</v>
      </c>
      <c r="H102" s="109">
        <f t="shared" si="28"/>
        <v>0.6951953517524917</v>
      </c>
      <c r="J102" s="116">
        <f t="shared" si="23"/>
        <v>0.23539083343155265</v>
      </c>
      <c r="K102" s="25">
        <f t="shared" si="25"/>
        <v>102</v>
      </c>
      <c r="L102" s="122"/>
      <c r="M102" s="37"/>
      <c r="N102" s="146"/>
      <c r="O102" s="146"/>
      <c r="P102" s="146"/>
      <c r="Q102" s="122"/>
      <c r="R102" s="37"/>
      <c r="S102" s="146"/>
      <c r="T102" s="146"/>
      <c r="U102" s="146"/>
    </row>
    <row r="103" spans="1:21" x14ac:dyDescent="0.2">
      <c r="A103" s="105">
        <v>220</v>
      </c>
      <c r="B103" s="106">
        <f t="shared" si="18"/>
        <v>5.8187362480930402E-4</v>
      </c>
      <c r="C103" s="76">
        <f t="shared" si="19"/>
        <v>4.4191040904986878E-2</v>
      </c>
      <c r="D103" s="107">
        <f t="shared" si="24"/>
        <v>0.93676266069794611</v>
      </c>
      <c r="E103" s="37"/>
      <c r="F103" s="108">
        <f t="shared" si="26"/>
        <v>1.6001524682255905E-3</v>
      </c>
      <c r="G103" s="109">
        <f t="shared" si="27"/>
        <v>0.12152536248871428</v>
      </c>
      <c r="H103" s="109">
        <f t="shared" si="28"/>
        <v>0.71178699443436888</v>
      </c>
      <c r="J103" s="116">
        <f t="shared" si="23"/>
        <v>0.22497566626357723</v>
      </c>
      <c r="K103" s="25">
        <f t="shared" si="25"/>
        <v>103</v>
      </c>
      <c r="L103" s="122"/>
      <c r="M103" s="37"/>
      <c r="N103" s="146"/>
      <c r="O103" s="146"/>
      <c r="P103" s="146"/>
      <c r="Q103" s="122"/>
      <c r="R103" s="37"/>
      <c r="S103" s="146"/>
      <c r="T103" s="146"/>
      <c r="U103" s="146"/>
    </row>
    <row r="104" spans="1:21" x14ac:dyDescent="0.2">
      <c r="A104" s="105">
        <v>230</v>
      </c>
      <c r="B104" s="106">
        <f t="shared" si="18"/>
        <v>5.1836896185399853E-4</v>
      </c>
      <c r="C104" s="76">
        <f t="shared" si="19"/>
        <v>3.9368108504098241E-2</v>
      </c>
      <c r="D104" s="107">
        <f t="shared" si="24"/>
        <v>0.94225636976256888</v>
      </c>
      <c r="E104" s="37"/>
      <c r="F104" s="108">
        <f t="shared" si="26"/>
        <v>1.490310765330247E-3</v>
      </c>
      <c r="G104" s="109">
        <f t="shared" si="27"/>
        <v>0.11318331194928255</v>
      </c>
      <c r="H104" s="109">
        <f t="shared" si="28"/>
        <v>0.7272314387532206</v>
      </c>
      <c r="J104" s="116">
        <f t="shared" si="23"/>
        <v>0.21502493100934827</v>
      </c>
      <c r="K104" s="25">
        <f t="shared" si="25"/>
        <v>104</v>
      </c>
      <c r="L104" s="122"/>
      <c r="M104" s="37"/>
      <c r="N104" s="146"/>
      <c r="O104" s="146"/>
      <c r="P104" s="146"/>
      <c r="Q104" s="122"/>
      <c r="R104" s="37"/>
      <c r="S104" s="146"/>
      <c r="T104" s="146"/>
      <c r="U104" s="146"/>
    </row>
    <row r="105" spans="1:21" x14ac:dyDescent="0.2">
      <c r="A105" s="105">
        <v>240</v>
      </c>
      <c r="B105" s="106">
        <f t="shared" si="18"/>
        <v>4.6315914464713752E-4</v>
      </c>
      <c r="C105" s="76">
        <f t="shared" si="19"/>
        <v>3.5175137407762978E-2</v>
      </c>
      <c r="D105" s="107">
        <f t="shared" si="24"/>
        <v>0.94715765956481612</v>
      </c>
      <c r="E105" s="37"/>
      <c r="F105" s="108">
        <f t="shared" si="26"/>
        <v>1.3894774339414109E-3</v>
      </c>
      <c r="G105" s="109">
        <f t="shared" si="27"/>
        <v>0.1055254122232888</v>
      </c>
      <c r="H105" s="109">
        <f t="shared" si="28"/>
        <v>0.74162322870154751</v>
      </c>
      <c r="J105" s="116">
        <f t="shared" si="23"/>
        <v>0.20553443086326861</v>
      </c>
      <c r="K105" s="25">
        <f t="shared" si="25"/>
        <v>105</v>
      </c>
      <c r="L105" s="122"/>
      <c r="M105" s="37"/>
      <c r="N105" s="146"/>
      <c r="O105" s="146"/>
      <c r="P105" s="146"/>
      <c r="Q105" s="122"/>
      <c r="R105" s="37"/>
      <c r="S105" s="146"/>
      <c r="T105" s="146"/>
      <c r="U105" s="146"/>
    </row>
    <row r="106" spans="1:21" x14ac:dyDescent="0.2">
      <c r="A106" s="105">
        <v>250</v>
      </c>
      <c r="B106" s="106">
        <f t="shared" si="18"/>
        <v>4.149846566592996E-4</v>
      </c>
      <c r="C106" s="76">
        <f t="shared" si="19"/>
        <v>3.1516472229486441E-2</v>
      </c>
      <c r="D106" s="107">
        <f t="shared" si="24"/>
        <v>0.95154297976698909</v>
      </c>
      <c r="E106" s="37"/>
      <c r="F106" s="108">
        <f t="shared" si="26"/>
        <v>1.2968270520603115E-3</v>
      </c>
      <c r="G106" s="109">
        <f t="shared" si="27"/>
        <v>9.8488975717145169E-2</v>
      </c>
      <c r="H106" s="109">
        <f t="shared" si="28"/>
        <v>0.75504825544670795</v>
      </c>
      <c r="K106" s="25">
        <f t="shared" si="25"/>
        <v>106</v>
      </c>
      <c r="L106" s="122"/>
      <c r="M106" s="37"/>
      <c r="N106" s="146"/>
      <c r="O106" s="146"/>
      <c r="P106" s="146"/>
      <c r="Q106" s="122"/>
      <c r="R106" s="37"/>
      <c r="S106" s="146"/>
      <c r="T106" s="146"/>
      <c r="U106" s="146"/>
    </row>
    <row r="107" spans="1:21" x14ac:dyDescent="0.2">
      <c r="A107" s="105">
        <v>260</v>
      </c>
      <c r="B107" s="106">
        <f t="shared" si="18"/>
        <v>3.7280320651640505E-4</v>
      </c>
      <c r="C107" s="76">
        <f t="shared" si="19"/>
        <v>2.8312954989282928E-2</v>
      </c>
      <c r="D107" s="107">
        <f t="shared" si="24"/>
        <v>0.95547731010986359</v>
      </c>
      <c r="E107" s="117"/>
      <c r="F107" s="108">
        <f t="shared" si="26"/>
        <v>1.2116104211783146E-3</v>
      </c>
      <c r="G107" s="109">
        <f t="shared" si="27"/>
        <v>9.2017103715169385E-2</v>
      </c>
      <c r="H107" s="109">
        <f t="shared" si="28"/>
        <v>0.76758454101239504</v>
      </c>
      <c r="K107" s="25">
        <f t="shared" si="25"/>
        <v>107</v>
      </c>
      <c r="L107" s="122"/>
      <c r="M107" s="37"/>
      <c r="N107" s="146"/>
      <c r="O107" s="146"/>
      <c r="P107" s="146"/>
      <c r="Q107" s="122"/>
      <c r="R107" s="37"/>
      <c r="S107" s="146"/>
      <c r="T107" s="146"/>
      <c r="U107" s="146"/>
    </row>
    <row r="108" spans="1:21" x14ac:dyDescent="0.2">
      <c r="A108" s="105">
        <v>270</v>
      </c>
      <c r="B108" s="106">
        <f t="shared" si="18"/>
        <v>3.3574796830384792E-4</v>
      </c>
      <c r="C108" s="76">
        <f t="shared" si="19"/>
        <v>2.5498753627033861E-2</v>
      </c>
      <c r="D108" s="107">
        <f t="shared" si="24"/>
        <v>0.95901611552419841</v>
      </c>
      <c r="E108" s="37"/>
      <c r="F108" s="108">
        <f t="shared" si="26"/>
        <v>1.1331493930254854E-3</v>
      </c>
      <c r="G108" s="109">
        <f t="shared" si="27"/>
        <v>8.6058293491239196E-2</v>
      </c>
      <c r="H108" s="109">
        <f t="shared" si="28"/>
        <v>0.7793029752793903</v>
      </c>
      <c r="K108" s="25">
        <f t="shared" si="25"/>
        <v>108</v>
      </c>
      <c r="L108" s="122"/>
      <c r="M108" s="37"/>
      <c r="N108" s="146"/>
      <c r="O108" s="146"/>
      <c r="P108" s="146"/>
      <c r="Q108" s="122"/>
      <c r="R108" s="37"/>
      <c r="S108" s="146"/>
      <c r="T108" s="146"/>
      <c r="U108" s="146"/>
    </row>
    <row r="109" spans="1:21" x14ac:dyDescent="0.2">
      <c r="A109" s="105">
        <v>280</v>
      </c>
      <c r="B109" s="106">
        <f t="shared" si="18"/>
        <v>3.0309463240961167E-4</v>
      </c>
      <c r="C109" s="76">
        <f t="shared" si="19"/>
        <v>2.3018859642048074E-2</v>
      </c>
      <c r="D109" s="107">
        <f t="shared" si="24"/>
        <v>0.9622069296233815</v>
      </c>
      <c r="E109" s="37"/>
      <c r="F109" s="108">
        <f t="shared" si="26"/>
        <v>1.0608312134336413E-3</v>
      </c>
      <c r="G109" s="109">
        <f t="shared" si="27"/>
        <v>8.0566008747168308E-2</v>
      </c>
      <c r="H109" s="109">
        <f t="shared" si="28"/>
        <v>0.79026799840778506</v>
      </c>
      <c r="K109" s="25">
        <f t="shared" si="25"/>
        <v>109</v>
      </c>
      <c r="L109" s="122"/>
      <c r="M109" s="37"/>
      <c r="N109" s="146"/>
      <c r="O109" s="146"/>
      <c r="P109" s="146"/>
      <c r="Q109" s="122"/>
      <c r="R109" s="37"/>
      <c r="S109" s="146"/>
      <c r="T109" s="146"/>
      <c r="U109" s="146"/>
    </row>
    <row r="110" spans="1:21" x14ac:dyDescent="0.2">
      <c r="A110" s="105">
        <v>290</v>
      </c>
      <c r="B110" s="106">
        <f t="shared" si="18"/>
        <v>2.7423525338118946E-4</v>
      </c>
      <c r="C110" s="76">
        <f t="shared" si="19"/>
        <v>2.0827101939410349E-2</v>
      </c>
      <c r="D110" s="107">
        <f t="shared" si="24"/>
        <v>0.96509064413942414</v>
      </c>
      <c r="E110" s="37"/>
      <c r="F110" s="108">
        <f t="shared" si="26"/>
        <v>9.9410279350681209E-4</v>
      </c>
      <c r="G110" s="109">
        <f t="shared" si="27"/>
        <v>7.5498244530362538E-2</v>
      </c>
      <c r="H110" s="109">
        <f t="shared" si="28"/>
        <v>0.80053822607246117</v>
      </c>
      <c r="K110" s="25">
        <f t="shared" si="25"/>
        <v>110</v>
      </c>
      <c r="L110" s="122"/>
      <c r="M110" s="37"/>
      <c r="N110" s="146"/>
      <c r="O110" s="146"/>
      <c r="P110" s="37"/>
      <c r="Q110" s="122"/>
      <c r="R110" s="146"/>
      <c r="S110" s="154"/>
      <c r="U110" s="37"/>
    </row>
    <row r="111" spans="1:21" x14ac:dyDescent="0.2">
      <c r="A111" s="105">
        <v>300</v>
      </c>
      <c r="B111" s="106">
        <f t="shared" si="18"/>
        <v>2.4865737409546571E-4</v>
      </c>
      <c r="C111" s="76">
        <f t="shared" si="19"/>
        <v>1.8884561391798019E-2</v>
      </c>
      <c r="D111" s="107">
        <f t="shared" si="24"/>
        <v>0.96770256431776969</v>
      </c>
      <c r="E111" s="37"/>
      <c r="F111" s="108">
        <f t="shared" si="26"/>
        <v>9.3246515285799519E-4</v>
      </c>
      <c r="G111" s="109">
        <f t="shared" si="27"/>
        <v>7.081710521924249E-2</v>
      </c>
      <c r="H111" s="109">
        <f t="shared" si="28"/>
        <v>0.81016701811818159</v>
      </c>
      <c r="K111" s="25">
        <f t="shared" si="25"/>
        <v>111</v>
      </c>
      <c r="L111" s="122"/>
      <c r="M111" s="37"/>
      <c r="N111" s="146"/>
      <c r="O111" s="146"/>
      <c r="Q111" s="30"/>
    </row>
    <row r="112" spans="1:21" x14ac:dyDescent="0.2">
      <c r="A112" s="105">
        <v>310</v>
      </c>
      <c r="B112" s="113">
        <f t="shared" si="18"/>
        <v>2.2592727048935114E-4</v>
      </c>
      <c r="C112" s="119">
        <f t="shared" si="19"/>
        <v>1.7158298341876158E-2</v>
      </c>
      <c r="D112" s="120">
        <f t="shared" si="24"/>
        <v>0.97007327699438695</v>
      </c>
      <c r="E112" s="37"/>
      <c r="F112" s="108">
        <f t="shared" si="26"/>
        <v>8.7546817314623673E-4</v>
      </c>
      <c r="G112" s="109">
        <f t="shared" si="27"/>
        <v>6.6488406074770204E-2</v>
      </c>
      <c r="H112" s="109">
        <f t="shared" si="28"/>
        <v>0.81920299311640798</v>
      </c>
      <c r="K112" s="25">
        <f t="shared" si="25"/>
        <v>112</v>
      </c>
      <c r="L112" s="122"/>
      <c r="M112" s="37"/>
      <c r="N112" s="146"/>
      <c r="O112" s="146"/>
    </row>
    <row r="113" spans="1:11" x14ac:dyDescent="0.2">
      <c r="A113" s="105">
        <v>320</v>
      </c>
      <c r="B113" s="106">
        <f t="shared" si="18"/>
        <v>2.0567643301334573E-4</v>
      </c>
      <c r="C113" s="76">
        <f t="shared" si="19"/>
        <v>1.5620325921222651E-2</v>
      </c>
      <c r="D113" s="107">
        <f t="shared" si="24"/>
        <v>0.97222936794653769</v>
      </c>
      <c r="E113" s="37"/>
      <c r="F113" s="108">
        <f t="shared" si="26"/>
        <v>8.2270573205338164E-4</v>
      </c>
      <c r="G113" s="109">
        <f t="shared" si="27"/>
        <v>6.2481303684890514E-2</v>
      </c>
      <c r="H113" s="109">
        <f t="shared" si="28"/>
        <v>0.82769049232219882</v>
      </c>
      <c r="K113" s="25">
        <f t="shared" si="25"/>
        <v>113</v>
      </c>
    </row>
    <row r="114" spans="1:11" x14ac:dyDescent="0.2">
      <c r="A114" s="105">
        <v>340</v>
      </c>
      <c r="B114" s="106">
        <f t="shared" si="18"/>
        <v>1.7140085044108755E-4</v>
      </c>
      <c r="C114" s="76">
        <f t="shared" si="19"/>
        <v>1.3017228604362281E-2</v>
      </c>
      <c r="D114" s="107">
        <f t="shared" si="24"/>
        <v>0.97598749608258062</v>
      </c>
      <c r="E114" s="37"/>
      <c r="F114" s="108">
        <f t="shared" si="26"/>
        <v>7.2845361437462301E-4</v>
      </c>
      <c r="G114" s="109">
        <f t="shared" si="27"/>
        <v>5.532322156853977E-2</v>
      </c>
      <c r="H114" s="109">
        <f t="shared" si="28"/>
        <v>0.84317850321013532</v>
      </c>
      <c r="K114" s="25">
        <f t="shared" si="25"/>
        <v>114</v>
      </c>
    </row>
    <row r="115" spans="1:11" x14ac:dyDescent="0.2">
      <c r="A115" s="105">
        <v>360</v>
      </c>
      <c r="B115" s="106">
        <f t="shared" si="18"/>
        <v>1.4381786639363134E-4</v>
      </c>
      <c r="C115" s="76">
        <f t="shared" si="19"/>
        <v>1.0922408141031929E-2</v>
      </c>
      <c r="D115" s="107">
        <f t="shared" si="24"/>
        <v>0.97912990541786049</v>
      </c>
      <c r="E115" s="37"/>
      <c r="F115" s="108">
        <f t="shared" si="26"/>
        <v>6.471803987713416E-4</v>
      </c>
      <c r="G115" s="109">
        <f t="shared" si="27"/>
        <v>4.915083663464373E-2</v>
      </c>
      <c r="H115" s="109">
        <f t="shared" si="28"/>
        <v>0.85691506139751628</v>
      </c>
      <c r="K115" s="25">
        <f t="shared" si="25"/>
        <v>115</v>
      </c>
    </row>
    <row r="116" spans="1:11" x14ac:dyDescent="0.2">
      <c r="A116" s="105">
        <v>380</v>
      </c>
      <c r="B116" s="106">
        <f t="shared" si="18"/>
        <v>1.2143517688039175E-4</v>
      </c>
      <c r="C116" s="76">
        <f t="shared" si="19"/>
        <v>9.2225298415689622E-3</v>
      </c>
      <c r="D116" s="107">
        <f t="shared" si="24"/>
        <v>0.98177479779352173</v>
      </c>
      <c r="E116" s="37"/>
      <c r="F116" s="108">
        <f t="shared" si="26"/>
        <v>5.7681709018186033E-4</v>
      </c>
      <c r="G116" s="109">
        <f t="shared" si="27"/>
        <v>4.3807016747452542E-2</v>
      </c>
      <c r="H116" s="109">
        <f t="shared" si="28"/>
        <v>0.86913837021701656</v>
      </c>
      <c r="K116" s="25">
        <f t="shared" si="25"/>
        <v>116</v>
      </c>
    </row>
    <row r="117" spans="1:11" x14ac:dyDescent="0.2">
      <c r="A117" s="105">
        <v>400</v>
      </c>
      <c r="B117" s="106">
        <f t="shared" si="18"/>
        <v>1.0313285947768297E-4</v>
      </c>
      <c r="C117" s="76">
        <f t="shared" si="19"/>
        <v>7.832539949409436E-3</v>
      </c>
      <c r="D117" s="107">
        <f t="shared" si="24"/>
        <v>0.98401445574915247</v>
      </c>
      <c r="E117" s="37"/>
      <c r="F117" s="108">
        <f t="shared" si="26"/>
        <v>5.1566429738841412E-4</v>
      </c>
      <c r="G117" s="109">
        <f t="shared" si="27"/>
        <v>3.9162699747047135E-2</v>
      </c>
      <c r="H117" s="109">
        <f t="shared" si="28"/>
        <v>0.88004908263462434</v>
      </c>
      <c r="K117" s="25">
        <f t="shared" si="25"/>
        <v>117</v>
      </c>
    </row>
    <row r="118" spans="1:11" x14ac:dyDescent="0.2">
      <c r="A118" s="105">
        <v>420</v>
      </c>
      <c r="B118" s="106">
        <f t="shared" si="18"/>
        <v>8.8061047292482765E-5</v>
      </c>
      <c r="C118" s="76">
        <f t="shared" si="19"/>
        <v>6.6878943762289349E-3</v>
      </c>
      <c r="D118" s="107">
        <f t="shared" si="24"/>
        <v>0.98592160534473139</v>
      </c>
      <c r="E118" s="37"/>
      <c r="F118" s="108">
        <f t="shared" si="26"/>
        <v>4.6232049828553399E-4</v>
      </c>
      <c r="G118" s="109">
        <f t="shared" si="27"/>
        <v>3.5111445475201876E-2</v>
      </c>
      <c r="H118" s="109">
        <f t="shared" si="28"/>
        <v>0.88981694887776508</v>
      </c>
      <c r="K118" s="25">
        <f t="shared" si="25"/>
        <v>118</v>
      </c>
    </row>
    <row r="119" spans="1:11" x14ac:dyDescent="0.2">
      <c r="A119" s="105">
        <v>440</v>
      </c>
      <c r="B119" s="106">
        <f t="shared" si="18"/>
        <v>7.556816618841907E-5</v>
      </c>
      <c r="C119" s="76">
        <f t="shared" si="19"/>
        <v>5.7391085980941278E-3</v>
      </c>
      <c r="D119" s="107">
        <f t="shared" si="24"/>
        <v>0.98755405815647912</v>
      </c>
      <c r="E119" s="37"/>
      <c r="F119" s="108">
        <f t="shared" si="26"/>
        <v>4.1562491403630499E-4</v>
      </c>
      <c r="G119" s="109">
        <f t="shared" si="27"/>
        <v>3.1565097289517716E-2</v>
      </c>
      <c r="H119" s="109">
        <f t="shared" si="28"/>
        <v>0.89858618084898489</v>
      </c>
      <c r="K119" s="25">
        <f t="shared" si="25"/>
        <v>119</v>
      </c>
    </row>
    <row r="120" spans="1:11" x14ac:dyDescent="0.2">
      <c r="A120" s="105">
        <v>460</v>
      </c>
      <c r="B120" s="106">
        <f t="shared" si="18"/>
        <v>6.5149917575442313E-5</v>
      </c>
      <c r="C120" s="76">
        <f t="shared" si="19"/>
        <v>4.9478830965683247E-3</v>
      </c>
      <c r="D120" s="107">
        <f t="shared" si="24"/>
        <v>0.98895813856779125</v>
      </c>
      <c r="E120" s="37"/>
      <c r="F120" s="108">
        <f t="shared" si="26"/>
        <v>3.7461202605879284E-4</v>
      </c>
      <c r="G120" s="109">
        <f t="shared" si="27"/>
        <v>2.8450327805267836E-2</v>
      </c>
      <c r="H120" s="109">
        <f t="shared" si="28"/>
        <v>0.90647979494047859</v>
      </c>
      <c r="K120" s="25">
        <f t="shared" si="25"/>
        <v>120</v>
      </c>
    </row>
    <row r="121" spans="1:11" x14ac:dyDescent="0.2">
      <c r="A121" s="105">
        <v>480</v>
      </c>
      <c r="B121" s="106">
        <f t="shared" si="18"/>
        <v>5.6412551049036542E-5</v>
      </c>
      <c r="C121" s="76">
        <f t="shared" si="19"/>
        <v>4.2843140583655702E-3</v>
      </c>
      <c r="D121" s="107">
        <f t="shared" si="24"/>
        <v>0.99017124230121245</v>
      </c>
      <c r="E121" s="37"/>
      <c r="F121" s="108">
        <f t="shared" si="26"/>
        <v>3.3847530629421886E-4</v>
      </c>
      <c r="G121" s="109">
        <f t="shared" si="27"/>
        <v>2.5705884350193393E-2</v>
      </c>
      <c r="H121" s="109">
        <f t="shared" si="28"/>
        <v>0.91360314094294448</v>
      </c>
      <c r="K121" s="25">
        <f t="shared" si="25"/>
        <v>121</v>
      </c>
    </row>
    <row r="122" spans="1:11" x14ac:dyDescent="0.2">
      <c r="A122" s="105">
        <v>500</v>
      </c>
      <c r="B122" s="106">
        <f t="shared" si="18"/>
        <v>4.904611482624952E-5</v>
      </c>
      <c r="C122" s="76">
        <f t="shared" si="19"/>
        <v>3.7248618499039067E-3</v>
      </c>
      <c r="D122" s="107">
        <f t="shared" si="24"/>
        <v>0.9912237660308103</v>
      </c>
      <c r="E122" s="37"/>
      <c r="F122" s="108">
        <f t="shared" si="26"/>
        <v>3.0653821766405971E-4</v>
      </c>
      <c r="G122" s="109">
        <f t="shared" si="27"/>
        <v>2.3280386561899437E-2</v>
      </c>
      <c r="H122" s="109">
        <f t="shared" si="28"/>
        <v>0.92004678113482941</v>
      </c>
      <c r="K122" s="25">
        <f t="shared" si="25"/>
        <v>122</v>
      </c>
    </row>
    <row r="123" spans="1:11" x14ac:dyDescent="0.2">
      <c r="A123" s="105">
        <v>550</v>
      </c>
      <c r="B123" s="106">
        <f t="shared" ref="B123:B148" si="29">_xlfn.LOGNORM.DIST(A123,$H$4,$H$7,0)</f>
        <v>3.5133420629768657E-5</v>
      </c>
      <c r="C123" s="76">
        <f t="shared" ref="C123:C148" si="30">B123/$C$8</f>
        <v>2.6682467841553062E-3</v>
      </c>
      <c r="D123" s="107">
        <f t="shared" si="24"/>
        <v>0.99330511398316468</v>
      </c>
      <c r="E123" s="37"/>
      <c r="F123" s="108">
        <f t="shared" ref="F123:F148" si="31">_xlfn.LOGNORM.DIST(A123,H$17,H$20,0)</f>
        <v>2.4154226682965928E-4</v>
      </c>
      <c r="G123" s="109">
        <f t="shared" ref="G123:G148" si="32">F123*D$55</f>
        <v>1.8344196641067713E-2</v>
      </c>
      <c r="H123" s="118">
        <f t="shared" ref="H123:H148" si="33">_xlfn.LOGNORM.DIST(A123,H$17,H$20,1)</f>
        <v>0.93366950904802992</v>
      </c>
      <c r="K123" s="25">
        <f t="shared" si="25"/>
        <v>123</v>
      </c>
    </row>
    <row r="124" spans="1:11" x14ac:dyDescent="0.2">
      <c r="A124" s="105">
        <v>600</v>
      </c>
      <c r="B124" s="106">
        <f t="shared" si="29"/>
        <v>2.5691345926183632E-5</v>
      </c>
      <c r="C124" s="76">
        <f t="shared" si="30"/>
        <v>1.9511578980749072E-3</v>
      </c>
      <c r="D124" s="107">
        <f t="shared" ref="D124:D148" si="34">_xlfn.LOGNORM.DIST(A124,$H$4,$H$7,1)</f>
        <v>0.99481103319321507</v>
      </c>
      <c r="E124" s="37"/>
      <c r="F124" s="108">
        <f t="shared" si="31"/>
        <v>1.9268509444637742E-4</v>
      </c>
      <c r="G124" s="109">
        <f t="shared" si="32"/>
        <v>1.4633684235561821E-2</v>
      </c>
      <c r="H124" s="118">
        <f t="shared" si="33"/>
        <v>0.94446878165049253</v>
      </c>
      <c r="K124" s="25">
        <f t="shared" si="25"/>
        <v>124</v>
      </c>
    </row>
    <row r="125" spans="1:11" x14ac:dyDescent="0.2">
      <c r="A125" s="105">
        <v>650</v>
      </c>
      <c r="B125" s="106">
        <f t="shared" si="29"/>
        <v>1.9127191221860651E-5</v>
      </c>
      <c r="C125" s="76">
        <f t="shared" si="30"/>
        <v>1.452635853635335E-3</v>
      </c>
      <c r="D125" s="107">
        <f t="shared" si="34"/>
        <v>0.99592188403492832</v>
      </c>
      <c r="E125" s="37"/>
      <c r="F125" s="108">
        <f t="shared" si="31"/>
        <v>1.554084286776179E-4</v>
      </c>
      <c r="G125" s="109">
        <f t="shared" si="32"/>
        <v>1.1802666310787106E-2</v>
      </c>
      <c r="H125" s="109">
        <f t="shared" si="33"/>
        <v>0.9531302508388515</v>
      </c>
      <c r="K125" s="25">
        <f t="shared" si="25"/>
        <v>125</v>
      </c>
    </row>
    <row r="126" spans="1:11" x14ac:dyDescent="0.2">
      <c r="A126" s="105">
        <v>720</v>
      </c>
      <c r="B126" s="106">
        <f t="shared" si="29"/>
        <v>1.2990064221951725E-5</v>
      </c>
      <c r="C126" s="76">
        <f t="shared" si="30"/>
        <v>9.8654490410835416E-4</v>
      </c>
      <c r="D126" s="107">
        <f t="shared" si="34"/>
        <v>0.99702954653078124</v>
      </c>
      <c r="E126" s="37"/>
      <c r="F126" s="108">
        <f t="shared" si="31"/>
        <v>1.1691057799756522E-4</v>
      </c>
      <c r="G126" s="109">
        <f t="shared" si="32"/>
        <v>8.8789041369751638E-3</v>
      </c>
      <c r="H126" s="109">
        <f t="shared" si="33"/>
        <v>0.96258341458740571</v>
      </c>
      <c r="K126" s="25">
        <f t="shared" si="25"/>
        <v>126</v>
      </c>
    </row>
    <row r="127" spans="1:11" x14ac:dyDescent="0.2">
      <c r="A127" s="105">
        <v>750</v>
      </c>
      <c r="B127" s="106">
        <f t="shared" si="29"/>
        <v>1.1096678359380838E-5</v>
      </c>
      <c r="C127" s="76">
        <f t="shared" si="30"/>
        <v>8.4274960469223927E-4</v>
      </c>
      <c r="D127" s="107">
        <f t="shared" si="34"/>
        <v>0.99738996237905564</v>
      </c>
      <c r="E127" s="37"/>
      <c r="F127" s="108">
        <f t="shared" si="31"/>
        <v>1.0403135961919561E-4</v>
      </c>
      <c r="G127" s="109">
        <f t="shared" si="32"/>
        <v>7.9007775439897624E-3</v>
      </c>
      <c r="H127" s="109">
        <f t="shared" si="33"/>
        <v>0.96589296134892733</v>
      </c>
      <c r="K127" s="25">
        <f t="shared" si="25"/>
        <v>127</v>
      </c>
    </row>
    <row r="128" spans="1:11" x14ac:dyDescent="0.2">
      <c r="A128" s="105">
        <v>800</v>
      </c>
      <c r="B128" s="106">
        <f t="shared" si="29"/>
        <v>8.6189553771347166E-6</v>
      </c>
      <c r="C128" s="76">
        <f t="shared" si="30"/>
        <v>6.5457617150810354E-4</v>
      </c>
      <c r="D128" s="107">
        <f t="shared" si="34"/>
        <v>0.99787976272178003</v>
      </c>
      <c r="E128" s="37"/>
      <c r="F128" s="108">
        <f t="shared" si="31"/>
        <v>8.6189553771347108E-5</v>
      </c>
      <c r="G128" s="109">
        <f t="shared" si="32"/>
        <v>6.5457617150810315E-3</v>
      </c>
      <c r="H128" s="109">
        <f t="shared" si="33"/>
        <v>0.97063146097615005</v>
      </c>
      <c r="K128" s="25">
        <f t="shared" si="25"/>
        <v>128</v>
      </c>
    </row>
    <row r="129" spans="1:11" x14ac:dyDescent="0.2">
      <c r="A129" s="105">
        <v>850</v>
      </c>
      <c r="B129" s="106">
        <f t="shared" si="29"/>
        <v>6.7704637513559446E-6</v>
      </c>
      <c r="C129" s="76">
        <f t="shared" si="30"/>
        <v>5.1419041493753136E-4</v>
      </c>
      <c r="D129" s="107">
        <f t="shared" si="34"/>
        <v>0.99826229899005658</v>
      </c>
      <c r="E129" s="37"/>
      <c r="F129" s="108">
        <f t="shared" si="31"/>
        <v>7.1936177358156872E-5</v>
      </c>
      <c r="G129" s="109">
        <f t="shared" si="32"/>
        <v>5.4632731587112675E-3</v>
      </c>
      <c r="H129" s="109">
        <f t="shared" si="33"/>
        <v>0.97457156006115053</v>
      </c>
      <c r="K129" s="25">
        <f t="shared" ref="K129:K153" si="35">K128+1</f>
        <v>129</v>
      </c>
    </row>
    <row r="130" spans="1:11" x14ac:dyDescent="0.2">
      <c r="A130" s="105">
        <v>900</v>
      </c>
      <c r="B130" s="106">
        <f t="shared" si="29"/>
        <v>5.3730515265702226E-6</v>
      </c>
      <c r="C130" s="76">
        <f t="shared" si="30"/>
        <v>4.0806238618064659E-4</v>
      </c>
      <c r="D130" s="107">
        <f t="shared" si="34"/>
        <v>0.99856429704330174</v>
      </c>
      <c r="E130" s="37"/>
      <c r="F130" s="108">
        <f t="shared" si="31"/>
        <v>6.0446829673914949E-5</v>
      </c>
      <c r="G130" s="109">
        <f t="shared" si="32"/>
        <v>4.5907018445322705E-3</v>
      </c>
      <c r="H130" s="109">
        <f t="shared" si="33"/>
        <v>0.97787102992027486</v>
      </c>
      <c r="K130" s="25">
        <f t="shared" si="35"/>
        <v>130</v>
      </c>
    </row>
    <row r="131" spans="1:11" x14ac:dyDescent="0.2">
      <c r="A131" s="105">
        <v>950</v>
      </c>
      <c r="B131" s="106">
        <f t="shared" si="29"/>
        <v>4.3039182084317754E-6</v>
      </c>
      <c r="C131" s="76">
        <f t="shared" si="30"/>
        <v>3.2686586483939435E-4</v>
      </c>
      <c r="D131" s="107">
        <f t="shared" si="34"/>
        <v>0.99880505548681575</v>
      </c>
      <c r="E131" s="37"/>
      <c r="F131" s="108">
        <f t="shared" si="31"/>
        <v>5.1109028725127415E-5</v>
      </c>
      <c r="G131" s="109">
        <f t="shared" si="32"/>
        <v>3.8815321449678147E-3</v>
      </c>
      <c r="H131" s="109">
        <f t="shared" si="33"/>
        <v>0.98065201890463027</v>
      </c>
      <c r="K131" s="25">
        <f t="shared" si="35"/>
        <v>131</v>
      </c>
    </row>
    <row r="132" spans="1:11" x14ac:dyDescent="0.2">
      <c r="A132" s="105">
        <v>1000</v>
      </c>
      <c r="B132" s="106">
        <f t="shared" si="29"/>
        <v>3.476980067720303E-6</v>
      </c>
      <c r="C132" s="76">
        <f t="shared" si="30"/>
        <v>2.6406312616215888E-4</v>
      </c>
      <c r="D132" s="107">
        <f t="shared" si="34"/>
        <v>0.99899871193104861</v>
      </c>
      <c r="E132" s="37"/>
      <c r="F132" s="108">
        <f t="shared" si="31"/>
        <v>4.3462250846503818E-5</v>
      </c>
      <c r="G132" s="109">
        <f t="shared" si="32"/>
        <v>3.3007890770269887E-3</v>
      </c>
      <c r="H132" s="109">
        <f t="shared" si="33"/>
        <v>0.98301005595831692</v>
      </c>
      <c r="K132" s="25">
        <f t="shared" si="35"/>
        <v>132</v>
      </c>
    </row>
    <row r="133" spans="1:11" x14ac:dyDescent="0.2">
      <c r="A133" s="105">
        <v>1100</v>
      </c>
      <c r="B133" s="106">
        <f t="shared" si="29"/>
        <v>2.3216443088730158E-6</v>
      </c>
      <c r="C133" s="76">
        <f t="shared" si="30"/>
        <v>1.7631986439299585E-4</v>
      </c>
      <c r="D133" s="107">
        <f t="shared" si="34"/>
        <v>0.99928408008136638</v>
      </c>
      <c r="E133" s="37"/>
      <c r="F133" s="108">
        <f t="shared" si="31"/>
        <v>3.1922609247004046E-5</v>
      </c>
      <c r="G133" s="109">
        <f t="shared" si="32"/>
        <v>2.424398135403699E-3</v>
      </c>
      <c r="H133" s="109">
        <f t="shared" si="33"/>
        <v>0.98674353031206263</v>
      </c>
      <c r="K133" s="25">
        <f t="shared" si="35"/>
        <v>133</v>
      </c>
    </row>
    <row r="134" spans="1:11" x14ac:dyDescent="0.2">
      <c r="A134" s="105">
        <v>1200</v>
      </c>
      <c r="B134" s="106">
        <f t="shared" si="29"/>
        <v>1.592199159082591E-6</v>
      </c>
      <c r="C134" s="76">
        <f t="shared" si="30"/>
        <v>1.2092133956228674E-4</v>
      </c>
      <c r="D134" s="107">
        <f t="shared" si="34"/>
        <v>0.9994770870429236</v>
      </c>
      <c r="E134" s="37"/>
      <c r="F134" s="108">
        <f t="shared" si="31"/>
        <v>2.3882987386238899E-5</v>
      </c>
      <c r="G134" s="109">
        <f t="shared" si="32"/>
        <v>1.813820093434304E-3</v>
      </c>
      <c r="H134" s="109">
        <f t="shared" si="33"/>
        <v>0.98951043553051654</v>
      </c>
      <c r="K134" s="25">
        <f t="shared" si="35"/>
        <v>134</v>
      </c>
    </row>
    <row r="135" spans="1:11" x14ac:dyDescent="0.2">
      <c r="A135" s="105">
        <v>1300</v>
      </c>
      <c r="B135" s="106">
        <f t="shared" si="29"/>
        <v>1.1174514928000551E-6</v>
      </c>
      <c r="C135" s="76">
        <f t="shared" si="30"/>
        <v>8.4866098964099824E-5</v>
      </c>
      <c r="D135" s="107">
        <f t="shared" si="34"/>
        <v>0.99961093181233462</v>
      </c>
      <c r="E135" s="37"/>
      <c r="F135" s="108">
        <f t="shared" si="31"/>
        <v>1.8158586758000848E-5</v>
      </c>
      <c r="G135" s="109">
        <f t="shared" si="32"/>
        <v>1.3790741081666186E-3</v>
      </c>
      <c r="H135" s="109">
        <f t="shared" si="33"/>
        <v>0.99159683104364038</v>
      </c>
      <c r="K135" s="25">
        <f t="shared" si="35"/>
        <v>135</v>
      </c>
    </row>
    <row r="136" spans="1:11" x14ac:dyDescent="0.2">
      <c r="A136" s="105">
        <v>1400</v>
      </c>
      <c r="B136" s="106">
        <f t="shared" si="29"/>
        <v>8.0024344813777969E-7</v>
      </c>
      <c r="C136" s="76">
        <f t="shared" si="30"/>
        <v>6.0775380499836175E-5</v>
      </c>
      <c r="D136" s="107">
        <f t="shared" si="34"/>
        <v>0.99970578627605766</v>
      </c>
      <c r="E136" s="37"/>
      <c r="F136" s="108">
        <f t="shared" si="31"/>
        <v>1.4004260342411188E-5</v>
      </c>
      <c r="G136" s="109">
        <f t="shared" si="32"/>
        <v>1.0635691587471366E-3</v>
      </c>
      <c r="H136" s="109">
        <f t="shared" si="33"/>
        <v>0.99319420549471527</v>
      </c>
      <c r="K136" s="25">
        <f t="shared" si="35"/>
        <v>136</v>
      </c>
    </row>
    <row r="137" spans="1:11" x14ac:dyDescent="0.2">
      <c r="A137" s="105">
        <v>1600</v>
      </c>
      <c r="B137" s="106">
        <f t="shared" si="29"/>
        <v>4.3205319880694231E-7</v>
      </c>
      <c r="C137" s="76">
        <f t="shared" si="30"/>
        <v>3.2812761684919601E-5</v>
      </c>
      <c r="D137" s="107">
        <f t="shared" si="34"/>
        <v>0.99982463143287681</v>
      </c>
      <c r="E137" s="37"/>
      <c r="F137" s="108">
        <f t="shared" si="31"/>
        <v>8.6410639761388405E-6</v>
      </c>
      <c r="G137" s="109">
        <f t="shared" si="32"/>
        <v>6.562552336983917E-4</v>
      </c>
      <c r="H137" s="109">
        <f t="shared" si="33"/>
        <v>0.99540736119695561</v>
      </c>
      <c r="K137" s="25">
        <f t="shared" si="35"/>
        <v>137</v>
      </c>
    </row>
    <row r="138" spans="1:11" x14ac:dyDescent="0.2">
      <c r="A138" s="105">
        <v>1800</v>
      </c>
      <c r="B138" s="106">
        <f t="shared" si="29"/>
        <v>2.4693605130639165E-7</v>
      </c>
      <c r="C138" s="76">
        <f t="shared" si="30"/>
        <v>1.875383361425425E-5</v>
      </c>
      <c r="D138" s="107">
        <f t="shared" si="34"/>
        <v>0.99989053303913389</v>
      </c>
      <c r="E138" s="37"/>
      <c r="F138" s="108">
        <f t="shared" si="31"/>
        <v>5.5560611543938131E-6</v>
      </c>
      <c r="G138" s="109">
        <f t="shared" si="32"/>
        <v>4.2196125632072077E-4</v>
      </c>
      <c r="H138" s="109">
        <f t="shared" si="33"/>
        <v>0.9968001189557153</v>
      </c>
      <c r="K138" s="25">
        <f t="shared" si="35"/>
        <v>138</v>
      </c>
    </row>
    <row r="139" spans="1:11" x14ac:dyDescent="0.2">
      <c r="A139" s="105">
        <v>2000</v>
      </c>
      <c r="B139" s="106">
        <f t="shared" si="29"/>
        <v>1.4785118549727727E-7</v>
      </c>
      <c r="C139" s="76">
        <f t="shared" si="30"/>
        <v>1.1228723055289291E-5</v>
      </c>
      <c r="D139" s="107">
        <f t="shared" si="34"/>
        <v>0.99992903312621095</v>
      </c>
      <c r="E139" s="37"/>
      <c r="F139" s="108">
        <f t="shared" si="31"/>
        <v>3.6962796374319222E-6</v>
      </c>
      <c r="G139" s="109">
        <f t="shared" si="32"/>
        <v>2.8071807638223155E-4</v>
      </c>
      <c r="H139" s="109">
        <f t="shared" si="33"/>
        <v>0.99771039515577942</v>
      </c>
      <c r="K139" s="25">
        <f t="shared" si="35"/>
        <v>139</v>
      </c>
    </row>
    <row r="140" spans="1:11" x14ac:dyDescent="0.2">
      <c r="A140" s="105">
        <v>2200</v>
      </c>
      <c r="B140" s="106">
        <f t="shared" si="29"/>
        <v>9.2022907710109565E-8</v>
      </c>
      <c r="C140" s="76">
        <f t="shared" si="30"/>
        <v>6.988782280939468E-6</v>
      </c>
      <c r="D140" s="107">
        <f t="shared" si="34"/>
        <v>0.99995251156301213</v>
      </c>
      <c r="E140" s="37"/>
      <c r="F140" s="108">
        <f t="shared" si="31"/>
        <v>2.5306299620280089E-6</v>
      </c>
      <c r="G140" s="109">
        <f t="shared" si="32"/>
        <v>1.9219151272583507E-4</v>
      </c>
      <c r="H140" s="109">
        <f t="shared" si="33"/>
        <v>0.99832439119769922</v>
      </c>
      <c r="K140" s="25">
        <f t="shared" si="35"/>
        <v>140</v>
      </c>
    </row>
    <row r="141" spans="1:11" x14ac:dyDescent="0.2">
      <c r="A141" s="105">
        <v>2500</v>
      </c>
      <c r="B141" s="106">
        <f t="shared" si="29"/>
        <v>4.7985212382219883E-8</v>
      </c>
      <c r="C141" s="76">
        <f t="shared" si="30"/>
        <v>3.6442904314697426E-6</v>
      </c>
      <c r="D141" s="107">
        <f t="shared" si="34"/>
        <v>0.99997269048576942</v>
      </c>
      <c r="E141" s="37"/>
      <c r="F141" s="108">
        <f t="shared" si="31"/>
        <v>1.4995378869443661E-6</v>
      </c>
      <c r="G141" s="109">
        <f t="shared" si="32"/>
        <v>1.1388407598342907E-4</v>
      </c>
      <c r="H141" s="109">
        <f t="shared" si="33"/>
        <v>0.99891306237434896</v>
      </c>
      <c r="K141" s="25">
        <f t="shared" si="35"/>
        <v>141</v>
      </c>
    </row>
    <row r="142" spans="1:11" x14ac:dyDescent="0.2">
      <c r="A142" s="105">
        <v>3000</v>
      </c>
      <c r="B142" s="106">
        <f t="shared" si="29"/>
        <v>1.839581864268065E-8</v>
      </c>
      <c r="C142" s="76">
        <f t="shared" si="30"/>
        <v>1.3970909480316116E-6</v>
      </c>
      <c r="D142" s="107">
        <f t="shared" si="34"/>
        <v>0.9999879452140763</v>
      </c>
      <c r="E142" s="37"/>
      <c r="F142" s="108">
        <f t="shared" si="31"/>
        <v>6.8984319910052095E-7</v>
      </c>
      <c r="G142" s="109">
        <f t="shared" si="32"/>
        <v>5.2390910551185177E-5</v>
      </c>
      <c r="H142" s="109">
        <f t="shared" si="33"/>
        <v>0.99942991188673358</v>
      </c>
      <c r="K142" s="25">
        <f t="shared" si="35"/>
        <v>142</v>
      </c>
    </row>
    <row r="143" spans="1:11" x14ac:dyDescent="0.2">
      <c r="A143" s="105">
        <v>4000</v>
      </c>
      <c r="B143" s="106">
        <f t="shared" si="29"/>
        <v>3.7711381362399007E-9</v>
      </c>
      <c r="C143" s="76">
        <f t="shared" si="30"/>
        <v>2.8640328850022953E-7</v>
      </c>
      <c r="D143" s="107">
        <f t="shared" si="34"/>
        <v>0.99999690360354176</v>
      </c>
      <c r="E143" s="37"/>
      <c r="F143" s="108">
        <f t="shared" si="31"/>
        <v>1.8855690681199494E-7</v>
      </c>
      <c r="G143" s="109">
        <f t="shared" si="32"/>
        <v>1.4320164425011472E-5</v>
      </c>
      <c r="H143" s="109">
        <f t="shared" si="33"/>
        <v>0.99980750014692576</v>
      </c>
      <c r="K143" s="25">
        <f t="shared" si="35"/>
        <v>143</v>
      </c>
    </row>
    <row r="144" spans="1:11" x14ac:dyDescent="0.2">
      <c r="A144" s="105">
        <v>5000</v>
      </c>
      <c r="B144" s="106">
        <f t="shared" si="29"/>
        <v>1.0382335732293487E-9</v>
      </c>
      <c r="C144" s="76">
        <f t="shared" si="30"/>
        <v>7.8849805777921586E-8</v>
      </c>
      <c r="D144" s="107">
        <f t="shared" si="34"/>
        <v>0.99999898217229877</v>
      </c>
      <c r="E144" s="37"/>
      <c r="F144" s="108">
        <f t="shared" si="31"/>
        <v>6.4889598326834364E-8</v>
      </c>
      <c r="G144" s="109">
        <f t="shared" si="32"/>
        <v>4.9281128611201053E-6</v>
      </c>
      <c r="H144" s="109">
        <f t="shared" si="33"/>
        <v>0.99992168412334048</v>
      </c>
      <c r="K144" s="25">
        <f t="shared" si="35"/>
        <v>144</v>
      </c>
    </row>
    <row r="145" spans="1:11" x14ac:dyDescent="0.2">
      <c r="A145" s="105">
        <v>8000</v>
      </c>
      <c r="B145" s="106">
        <f t="shared" si="29"/>
        <v>5.7695918315152919E-11</v>
      </c>
      <c r="C145" s="76">
        <f t="shared" si="30"/>
        <v>4.3817808156389492E-9</v>
      </c>
      <c r="D145" s="107">
        <f t="shared" si="34"/>
        <v>0.99999991733852878</v>
      </c>
      <c r="E145" s="37"/>
      <c r="F145" s="108">
        <f t="shared" si="31"/>
        <v>5.7695918315152954E-9</v>
      </c>
      <c r="G145" s="109">
        <f t="shared" si="32"/>
        <v>4.3817808156389524E-7</v>
      </c>
      <c r="H145" s="109">
        <f t="shared" si="33"/>
        <v>0.99999000856801379</v>
      </c>
      <c r="K145" s="25">
        <f t="shared" si="35"/>
        <v>145</v>
      </c>
    </row>
    <row r="146" spans="1:11" x14ac:dyDescent="0.2">
      <c r="A146" s="105">
        <v>10000</v>
      </c>
      <c r="B146" s="106">
        <f t="shared" si="29"/>
        <v>1.3474347245001285E-11</v>
      </c>
      <c r="C146" s="76">
        <f t="shared" si="30"/>
        <v>1.0233243180028873E-9</v>
      </c>
      <c r="D146" s="107">
        <f t="shared" si="34"/>
        <v>0.99999997682541486</v>
      </c>
      <c r="E146" s="37"/>
      <c r="F146" s="108">
        <f t="shared" si="31"/>
        <v>1.6842934056251601E-9</v>
      </c>
      <c r="G146" s="109">
        <f t="shared" si="32"/>
        <v>1.2791553975036091E-7</v>
      </c>
      <c r="H146" s="109">
        <f t="shared" si="33"/>
        <v>0.99999652536324313</v>
      </c>
      <c r="K146" s="25">
        <f t="shared" si="35"/>
        <v>146</v>
      </c>
    </row>
    <row r="147" spans="1:11" x14ac:dyDescent="0.2">
      <c r="A147" s="105">
        <v>20000</v>
      </c>
      <c r="B147" s="106">
        <f t="shared" si="29"/>
        <v>1.0489273795497146E-13</v>
      </c>
      <c r="C147" s="76">
        <f t="shared" si="30"/>
        <v>7.9661958816630236E-12</v>
      </c>
      <c r="D147" s="107">
        <f t="shared" si="34"/>
        <v>0.99999999967888231</v>
      </c>
      <c r="E147" s="37"/>
      <c r="F147" s="108">
        <f t="shared" si="31"/>
        <v>2.6223184488742813E-11</v>
      </c>
      <c r="G147" s="109">
        <f t="shared" si="32"/>
        <v>1.9915489704157521E-9</v>
      </c>
      <c r="H147" s="109">
        <f t="shared" si="33"/>
        <v>0.99999990566120667</v>
      </c>
      <c r="K147" s="25">
        <f t="shared" si="35"/>
        <v>147</v>
      </c>
    </row>
    <row r="148" spans="1:11" x14ac:dyDescent="0.2">
      <c r="A148" s="105">
        <v>50000</v>
      </c>
      <c r="B148" s="106">
        <f t="shared" si="29"/>
        <v>7.8063106822136225E-17</v>
      </c>
      <c r="C148" s="76">
        <f t="shared" si="30"/>
        <v>5.928589645007437E-15</v>
      </c>
      <c r="D148" s="107">
        <f t="shared" si="34"/>
        <v>0.99999999999947875</v>
      </c>
      <c r="E148" s="37"/>
      <c r="F148" s="108">
        <f t="shared" si="31"/>
        <v>4.8789441763834469E-14</v>
      </c>
      <c r="G148" s="109">
        <f t="shared" si="32"/>
        <v>3.705368528129597E-12</v>
      </c>
      <c r="H148" s="109">
        <f t="shared" si="33"/>
        <v>0.99999999962517661</v>
      </c>
      <c r="K148" s="25">
        <f t="shared" si="35"/>
        <v>148</v>
      </c>
    </row>
    <row r="149" spans="1:11" x14ac:dyDescent="0.2">
      <c r="A149" s="108"/>
      <c r="B149" s="108"/>
      <c r="C149" s="108"/>
      <c r="D149" s="108"/>
      <c r="E149" s="37"/>
      <c r="F149" s="108"/>
      <c r="G149" s="109"/>
      <c r="H149" s="109"/>
      <c r="K149" s="25">
        <f t="shared" si="35"/>
        <v>149</v>
      </c>
    </row>
    <row r="150" spans="1:11" x14ac:dyDescent="0.2">
      <c r="A150" s="91" t="s">
        <v>71</v>
      </c>
      <c r="B150" s="28" t="s">
        <v>48</v>
      </c>
      <c r="F150" s="91" t="s">
        <v>71</v>
      </c>
      <c r="G150" s="28" t="s">
        <v>48</v>
      </c>
      <c r="H150" s="109"/>
      <c r="K150" s="25">
        <f t="shared" si="35"/>
        <v>150</v>
      </c>
    </row>
    <row r="151" spans="1:11" x14ac:dyDescent="0.2">
      <c r="A151" s="22" t="s">
        <v>49</v>
      </c>
      <c r="B151" s="92" t="str">
        <f ca="1">_xlfn.FORMULATEXT(B59)</f>
        <v>=LOGNORM.DIST(A59,$H$4,$H$7,0)</v>
      </c>
      <c r="F151" s="22" t="s">
        <v>50</v>
      </c>
      <c r="G151" s="78" t="str">
        <f ca="1">_xlfn.FORMULATEXT(F59)</f>
        <v>=LOGNORM.DIST(A59,H$17,H$20,0)</v>
      </c>
      <c r="H151" s="109"/>
      <c r="K151" s="25">
        <f t="shared" si="35"/>
        <v>151</v>
      </c>
    </row>
    <row r="152" spans="1:11" x14ac:dyDescent="0.2">
      <c r="A152" s="22" t="s">
        <v>51</v>
      </c>
      <c r="B152" s="92" t="str">
        <f ca="1">_xlfn.FORMULATEXT(C59)</f>
        <v>=B59/$C$8</v>
      </c>
      <c r="F152" s="93" t="s">
        <v>52</v>
      </c>
      <c r="G152" s="78" t="str">
        <f ca="1">_xlfn.FORMULATEXT(G59)</f>
        <v>=F59*D$55</v>
      </c>
      <c r="H152" s="109"/>
      <c r="K152" s="25">
        <f t="shared" si="35"/>
        <v>152</v>
      </c>
    </row>
    <row r="153" spans="1:11" x14ac:dyDescent="0.2">
      <c r="A153" s="22" t="s">
        <v>53</v>
      </c>
      <c r="B153" s="92" t="str">
        <f ca="1">_xlfn.FORMULATEXT(D59)</f>
        <v>=LOGNORM.DIST(A59,H$4,H$7,1)</v>
      </c>
      <c r="F153" s="93" t="s">
        <v>54</v>
      </c>
      <c r="G153" s="78" t="str">
        <f ca="1">_xlfn.FORMULATEXT(H59)</f>
        <v>=LOGNORM.DIST(A59,H$17,H$20,1)</v>
      </c>
      <c r="H153" s="109"/>
      <c r="K153" s="25">
        <f t="shared" si="35"/>
        <v>153</v>
      </c>
    </row>
    <row r="154" spans="1:11" x14ac:dyDescent="0.2">
      <c r="A154" s="108"/>
      <c r="B154" s="108"/>
      <c r="C154" s="108"/>
      <c r="D154" s="108"/>
      <c r="E154" s="37"/>
      <c r="F154" s="108"/>
      <c r="G154" s="109"/>
      <c r="H154" s="109"/>
    </row>
    <row r="155" spans="1:11" x14ac:dyDescent="0.2">
      <c r="A155" s="108"/>
      <c r="B155" s="108"/>
      <c r="C155" s="108"/>
      <c r="D155" s="108"/>
      <c r="E155" s="37"/>
      <c r="F155" s="108"/>
      <c r="G155" s="109"/>
      <c r="H155" s="109"/>
    </row>
    <row r="156" spans="1:11" x14ac:dyDescent="0.2">
      <c r="A156" s="108"/>
      <c r="B156" s="108"/>
      <c r="C156" s="108"/>
      <c r="D156" s="108"/>
      <c r="E156" s="37"/>
      <c r="F156" s="108"/>
      <c r="G156" s="109"/>
      <c r="H156" s="109"/>
    </row>
    <row r="157" spans="1:11" x14ac:dyDescent="0.2">
      <c r="A157" s="108"/>
      <c r="B157" s="108"/>
      <c r="C157" s="108"/>
      <c r="D157" s="108"/>
      <c r="E157" s="37"/>
      <c r="F157" s="108"/>
      <c r="G157" s="109"/>
      <c r="H157" s="109"/>
    </row>
    <row r="199" spans="1:3" x14ac:dyDescent="0.2">
      <c r="A199" s="30"/>
      <c r="C199" s="30"/>
    </row>
    <row r="200" spans="1:3" x14ac:dyDescent="0.2">
      <c r="A200" s="30"/>
      <c r="C200" s="30"/>
    </row>
    <row r="201" spans="1:3" x14ac:dyDescent="0.2">
      <c r="A201" s="30"/>
    </row>
    <row r="202" spans="1:3" x14ac:dyDescent="0.2">
      <c r="A202" s="30"/>
    </row>
    <row r="203" spans="1:3" x14ac:dyDescent="0.2">
      <c r="A203" s="30"/>
    </row>
    <row r="204" spans="1:3" x14ac:dyDescent="0.2">
      <c r="A204" s="30"/>
    </row>
    <row r="205" spans="1:3" x14ac:dyDescent="0.2">
      <c r="C205" s="30"/>
    </row>
  </sheetData>
  <pageMargins left="0.7" right="0.7" top="0.75" bottom="0.75" header="0.3" footer="0.3"/>
  <pageSetup orientation="portrait" horizontalDpi="1200" verticalDpi="1200" r:id="rId1"/>
  <headerFooter>
    <oddHeader>&amp;L7/18/2015&amp;CLognormal Distributions 
by Mean-Median Ratio&amp;RV0K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view="pageLayout" zoomScaleNormal="100" workbookViewId="0">
      <selection activeCell="J168" sqref="J168"/>
    </sheetView>
  </sheetViews>
  <sheetFormatPr defaultColWidth="9.140625" defaultRowHeight="12.75" x14ac:dyDescent="0.2"/>
  <cols>
    <col min="1" max="1" width="6" customWidth="1"/>
    <col min="2" max="2" width="9.140625" customWidth="1"/>
    <col min="3" max="3" width="5.85546875" style="18" customWidth="1"/>
    <col min="4" max="4" width="6.7109375" customWidth="1"/>
    <col min="5" max="5" width="7.42578125" customWidth="1"/>
    <col min="6" max="6" width="8.85546875" customWidth="1"/>
    <col min="7" max="7" width="8.42578125" customWidth="1"/>
    <col min="8" max="8" width="8.7109375" customWidth="1"/>
    <col min="9" max="9" width="8.7109375" style="15" customWidth="1"/>
    <col min="10" max="11" width="7" customWidth="1"/>
    <col min="12" max="12" width="6.140625" customWidth="1"/>
    <col min="13" max="13" width="3.28515625" customWidth="1"/>
    <col min="14" max="16" width="9.140625" customWidth="1"/>
    <col min="18" max="21" width="9.140625" customWidth="1"/>
  </cols>
  <sheetData>
    <row r="1" spans="1:23" x14ac:dyDescent="0.2">
      <c r="A1" s="11" t="str">
        <f t="shared" ref="A1:E1" si="0">CHAR(COLUMN(A1)+64)</f>
        <v>A</v>
      </c>
      <c r="B1" s="11" t="str">
        <f t="shared" si="0"/>
        <v>B</v>
      </c>
      <c r="C1" s="3" t="str">
        <f t="shared" si="0"/>
        <v>C</v>
      </c>
      <c r="D1" s="11" t="str">
        <f t="shared" si="0"/>
        <v>D</v>
      </c>
      <c r="E1" s="11" t="str">
        <f t="shared" si="0"/>
        <v>E</v>
      </c>
      <c r="F1" s="11" t="str">
        <f t="shared" ref="F1:L1" si="1">CHAR(COLUMN(F1)+64)</f>
        <v>F</v>
      </c>
      <c r="G1" s="11" t="str">
        <f t="shared" si="1"/>
        <v>G</v>
      </c>
      <c r="H1" s="15" t="str">
        <f t="shared" si="1"/>
        <v>H</v>
      </c>
      <c r="I1" s="15" t="str">
        <f t="shared" si="1"/>
        <v>I</v>
      </c>
      <c r="J1" s="15" t="str">
        <f t="shared" si="1"/>
        <v>J</v>
      </c>
      <c r="K1" s="15" t="str">
        <f t="shared" si="1"/>
        <v>K</v>
      </c>
      <c r="L1" s="15" t="str">
        <f t="shared" si="1"/>
        <v>L</v>
      </c>
      <c r="M1" s="171"/>
      <c r="S1" s="4"/>
      <c r="T1" s="4"/>
      <c r="U1" s="4"/>
      <c r="V1" s="4"/>
      <c r="W1" s="4"/>
    </row>
    <row r="2" spans="1:23" x14ac:dyDescent="0.2">
      <c r="B2" s="19" t="s">
        <v>7</v>
      </c>
      <c r="L2" s="11">
        <v>100</v>
      </c>
      <c r="M2" s="15"/>
      <c r="S2" s="1"/>
    </row>
    <row r="3" spans="1:23" x14ac:dyDescent="0.2">
      <c r="H3" s="138"/>
      <c r="I3" s="138"/>
      <c r="J3" s="1"/>
      <c r="M3" s="15"/>
      <c r="N3" s="15"/>
      <c r="O3" s="15"/>
      <c r="S3" s="1"/>
    </row>
    <row r="4" spans="1:23" x14ac:dyDescent="0.2">
      <c r="A4" s="12" t="s">
        <v>8</v>
      </c>
      <c r="B4" s="20" t="s">
        <v>3</v>
      </c>
      <c r="C4" s="149" t="s">
        <v>2</v>
      </c>
      <c r="D4" s="12" t="s">
        <v>5</v>
      </c>
      <c r="E4" s="12" t="s">
        <v>6</v>
      </c>
      <c r="F4" s="12" t="s">
        <v>4</v>
      </c>
      <c r="G4" s="12" t="s">
        <v>1</v>
      </c>
      <c r="H4" s="12" t="s">
        <v>136</v>
      </c>
      <c r="I4" s="12" t="s">
        <v>137</v>
      </c>
      <c r="J4" s="12" t="s">
        <v>135</v>
      </c>
      <c r="K4" s="12" t="s">
        <v>138</v>
      </c>
      <c r="L4" s="125"/>
      <c r="M4" s="15"/>
      <c r="N4" s="12"/>
      <c r="O4" s="12"/>
      <c r="P4" s="12"/>
      <c r="R4" s="12"/>
      <c r="U4" s="12"/>
      <c r="V4" s="12"/>
    </row>
    <row r="5" spans="1:23" x14ac:dyDescent="0.2">
      <c r="A5" s="3">
        <v>1.0009999999999999</v>
      </c>
      <c r="B5" s="18">
        <f t="shared" ref="B5:B32" si="2">LN(A5)</f>
        <v>9.9950033308342321E-4</v>
      </c>
      <c r="C5" s="18">
        <f t="shared" ref="C5:C32" si="3">SQRT((B5)/2)</f>
        <v>2.2355092631025076E-2</v>
      </c>
      <c r="D5" s="9">
        <f t="shared" ref="D5:D42" si="4">_xlfn.NORM.S.DIST(C5,1)</f>
        <v>0.5089176488605367</v>
      </c>
      <c r="E5" s="14">
        <f t="shared" ref="E5:E42" si="5">_xlfn.LOGNORM.DIST(L$2*A5, LN(L$2)+2*B5, SQRT(2*B5),1)</f>
        <v>0.49108235113945375</v>
      </c>
      <c r="F5" s="14">
        <f t="shared" ref="F5:F42" si="6">_xlfn.LOGNORM.DIST(L$2, LN(L$2)+2*B5, SQRT(2*B5),1)</f>
        <v>0.48216915757651668</v>
      </c>
      <c r="G5" s="9">
        <f t="shared" ref="G5:G42" si="7">2*_xlfn.NORM.S.DIST(SQRT(LN(A5)),1) - 1</f>
        <v>2.5220819363810598E-2</v>
      </c>
      <c r="H5" s="18">
        <f t="shared" ref="H5:H42" si="8">1-G5</f>
        <v>0.9747791806361894</v>
      </c>
      <c r="I5" s="3">
        <f t="shared" ref="I5:I42" si="9">(1-D5)/D5</f>
        <v>0.96495445233426957</v>
      </c>
      <c r="J5" s="3">
        <f t="shared" ref="J5:J42" si="10">I5-H5</f>
        <v>-9.8247283019198273E-3</v>
      </c>
      <c r="K5" s="21">
        <f>(1-_xlfn.NORM.S.DIST(SQRT(LN(A5)/2),1))/_xlfn.NORM.S.DIST(SQRT(LN(A5)/2),1)</f>
        <v>0.96495445233426957</v>
      </c>
      <c r="L5" s="172"/>
      <c r="M5" s="15"/>
      <c r="N5" s="3"/>
      <c r="O5" s="2"/>
      <c r="P5" s="135"/>
      <c r="R5" s="2"/>
      <c r="U5" s="3"/>
      <c r="V5" s="3"/>
    </row>
    <row r="6" spans="1:23" x14ac:dyDescent="0.2">
      <c r="A6" s="2">
        <v>1.01</v>
      </c>
      <c r="B6" s="18">
        <f t="shared" ref="B6" si="11">LN(A6)</f>
        <v>9.950330853168092E-3</v>
      </c>
      <c r="C6" s="18">
        <f t="shared" ref="C6" si="12">SQRT((B6)/2)</f>
        <v>7.0534852566543627E-2</v>
      </c>
      <c r="D6" s="9">
        <f t="shared" si="4"/>
        <v>0.52811601935879948</v>
      </c>
      <c r="E6" s="14">
        <f t="shared" si="5"/>
        <v>0.47188398064120107</v>
      </c>
      <c r="F6" s="14">
        <f t="shared" si="6"/>
        <v>0.44390743804127708</v>
      </c>
      <c r="G6" s="9">
        <f t="shared" si="7"/>
        <v>7.9458263725303624E-2</v>
      </c>
      <c r="H6" s="18">
        <f t="shared" si="8"/>
        <v>0.92054173627469638</v>
      </c>
      <c r="I6" s="3">
        <f t="shared" si="9"/>
        <v>0.89352332317835792</v>
      </c>
      <c r="J6" s="3">
        <f t="shared" si="10"/>
        <v>-2.7018413096338456E-2</v>
      </c>
      <c r="K6" s="21">
        <f t="shared" ref="K6:K42" si="13">(1-_xlfn.NORM.S.DIST(SQRT(LN(A6)/2),1))/_xlfn.NORM.S.DIST(SQRT(LN(A6)/2),1)</f>
        <v>0.89352332317835792</v>
      </c>
      <c r="L6" s="172"/>
      <c r="M6" s="15"/>
      <c r="N6" s="2"/>
      <c r="O6" s="2"/>
      <c r="P6" s="135"/>
      <c r="R6" s="2"/>
      <c r="U6" s="3"/>
      <c r="V6" s="3"/>
    </row>
    <row r="7" spans="1:23" x14ac:dyDescent="0.2">
      <c r="A7" s="2">
        <v>1.02</v>
      </c>
      <c r="B7" s="18">
        <f t="shared" si="2"/>
        <v>1.980262729617973E-2</v>
      </c>
      <c r="C7" s="18">
        <f t="shared" si="3"/>
        <v>9.9505344821722339E-2</v>
      </c>
      <c r="D7" s="9">
        <f t="shared" si="4"/>
        <v>0.53963147779542486</v>
      </c>
      <c r="E7" s="14">
        <f t="shared" si="5"/>
        <v>0.4603685222045733</v>
      </c>
      <c r="F7" s="9">
        <f t="shared" si="6"/>
        <v>0.42112719136002741</v>
      </c>
      <c r="G7" s="9">
        <f t="shared" si="7"/>
        <v>0.11191028390035473</v>
      </c>
      <c r="H7" s="18">
        <f t="shared" si="8"/>
        <v>0.88808971609964527</v>
      </c>
      <c r="I7" s="3">
        <f t="shared" si="9"/>
        <v>0.85311650848340903</v>
      </c>
      <c r="J7" s="3">
        <f t="shared" si="10"/>
        <v>-3.4973207616236235E-2</v>
      </c>
      <c r="K7" s="21">
        <f t="shared" si="13"/>
        <v>0.85311650848340903</v>
      </c>
      <c r="L7" s="172"/>
      <c r="M7" s="15"/>
      <c r="N7" s="2"/>
      <c r="O7" s="2"/>
      <c r="P7" s="135"/>
      <c r="R7" s="2"/>
      <c r="U7" s="3"/>
      <c r="V7" s="3"/>
    </row>
    <row r="8" spans="1:23" x14ac:dyDescent="0.2">
      <c r="A8" s="2">
        <v>1.03</v>
      </c>
      <c r="B8" s="18">
        <f t="shared" si="2"/>
        <v>2.9558802241544429E-2</v>
      </c>
      <c r="C8" s="18">
        <f t="shared" si="3"/>
        <v>0.12157056025523702</v>
      </c>
      <c r="D8" s="9">
        <f t="shared" si="4"/>
        <v>0.54838043498739186</v>
      </c>
      <c r="E8" s="14">
        <f t="shared" si="5"/>
        <v>0.4516195650126073</v>
      </c>
      <c r="F8" s="9">
        <f t="shared" si="6"/>
        <v>0.40394803862472534</v>
      </c>
      <c r="G8" s="9">
        <f t="shared" si="7"/>
        <v>0.13650487203593431</v>
      </c>
      <c r="H8" s="18">
        <f t="shared" si="8"/>
        <v>0.86349512796406569</v>
      </c>
      <c r="I8" s="3">
        <f t="shared" si="9"/>
        <v>0.82355156420376596</v>
      </c>
      <c r="J8" s="3">
        <f t="shared" si="10"/>
        <v>-3.9943563760299727E-2</v>
      </c>
      <c r="K8" s="21">
        <f t="shared" si="13"/>
        <v>0.82355156420376596</v>
      </c>
      <c r="L8" s="172"/>
      <c r="M8" s="15"/>
      <c r="N8" s="2"/>
      <c r="O8" s="2"/>
      <c r="P8" s="135"/>
      <c r="R8" s="2"/>
      <c r="U8" s="3"/>
      <c r="V8" s="3"/>
    </row>
    <row r="9" spans="1:23" x14ac:dyDescent="0.2">
      <c r="A9" s="2">
        <v>1.04</v>
      </c>
      <c r="B9" s="18">
        <f t="shared" si="2"/>
        <v>3.9220713153281329E-2</v>
      </c>
      <c r="C9" s="18">
        <f t="shared" si="3"/>
        <v>0.14003698288895211</v>
      </c>
      <c r="D9" s="9">
        <f t="shared" si="4"/>
        <v>0.55568461492274202</v>
      </c>
      <c r="E9" s="14">
        <f t="shared" si="5"/>
        <v>0.44431538507725765</v>
      </c>
      <c r="F9" s="9">
        <f t="shared" si="6"/>
        <v>0.38971037900023509</v>
      </c>
      <c r="G9" s="9">
        <f t="shared" si="7"/>
        <v>0.15698795361378259</v>
      </c>
      <c r="H9" s="18">
        <f t="shared" si="8"/>
        <v>0.84301204638621741</v>
      </c>
      <c r="I9" s="3">
        <f t="shared" si="9"/>
        <v>0.79958194476741462</v>
      </c>
      <c r="J9" s="3">
        <f t="shared" si="10"/>
        <v>-4.3430101618802786E-2</v>
      </c>
      <c r="K9" s="21">
        <f t="shared" si="13"/>
        <v>0.79958194476741462</v>
      </c>
      <c r="L9" s="172"/>
      <c r="M9" s="15"/>
      <c r="N9" s="2"/>
      <c r="O9" s="2"/>
      <c r="P9" s="135"/>
      <c r="R9" s="2"/>
      <c r="U9" s="3"/>
      <c r="V9" s="3"/>
    </row>
    <row r="10" spans="1:23" x14ac:dyDescent="0.2">
      <c r="A10" s="2">
        <v>1.05</v>
      </c>
      <c r="B10" s="18">
        <f t="shared" si="2"/>
        <v>4.8790164169432049E-2</v>
      </c>
      <c r="C10" s="18">
        <f t="shared" si="3"/>
        <v>0.15618925086162627</v>
      </c>
      <c r="D10" s="9">
        <f t="shared" si="4"/>
        <v>0.56205807533881735</v>
      </c>
      <c r="E10" s="14">
        <f t="shared" si="5"/>
        <v>0.43794192466118143</v>
      </c>
      <c r="F10" s="9">
        <f t="shared" si="6"/>
        <v>0.37737644332000059</v>
      </c>
      <c r="G10" s="9">
        <f t="shared" si="7"/>
        <v>0.17481798917900004</v>
      </c>
      <c r="H10" s="18">
        <f t="shared" si="8"/>
        <v>0.82518201082099996</v>
      </c>
      <c r="I10" s="3">
        <f t="shared" si="9"/>
        <v>0.77917557611317023</v>
      </c>
      <c r="J10" s="3">
        <f t="shared" si="10"/>
        <v>-4.6006434707829724E-2</v>
      </c>
      <c r="K10" s="21">
        <f t="shared" si="13"/>
        <v>0.77917557611317023</v>
      </c>
      <c r="L10" s="172"/>
      <c r="M10" s="15"/>
      <c r="N10" s="2"/>
      <c r="O10" s="2"/>
      <c r="P10" s="135"/>
      <c r="R10" s="2"/>
      <c r="U10" s="3"/>
      <c r="V10" s="3"/>
    </row>
    <row r="11" spans="1:23" x14ac:dyDescent="0.2">
      <c r="A11" s="2">
        <v>1.07</v>
      </c>
      <c r="B11" s="18">
        <f t="shared" si="2"/>
        <v>6.7658648473814864E-2</v>
      </c>
      <c r="C11" s="18">
        <f t="shared" si="3"/>
        <v>0.18392749722895549</v>
      </c>
      <c r="D11" s="9">
        <f t="shared" si="4"/>
        <v>0.57296483344009375</v>
      </c>
      <c r="E11" s="14">
        <f t="shared" si="5"/>
        <v>0.42703516655990525</v>
      </c>
      <c r="F11" s="9">
        <f t="shared" si="6"/>
        <v>0.35649067999080053</v>
      </c>
      <c r="G11" s="9">
        <f t="shared" si="7"/>
        <v>0.20522320527058824</v>
      </c>
      <c r="H11" s="18">
        <f t="shared" si="8"/>
        <v>0.79477679472941176</v>
      </c>
      <c r="I11" s="3">
        <f t="shared" si="9"/>
        <v>0.74530781234160137</v>
      </c>
      <c r="J11" s="3">
        <f t="shared" si="10"/>
        <v>-4.946898238781039E-2</v>
      </c>
      <c r="K11" s="21">
        <f t="shared" si="13"/>
        <v>0.74530781234160137</v>
      </c>
      <c r="L11" s="172"/>
      <c r="M11" s="15"/>
      <c r="N11" s="2"/>
      <c r="O11" s="2"/>
      <c r="P11" s="135"/>
      <c r="R11" s="2"/>
      <c r="U11" s="3"/>
      <c r="V11" s="3"/>
    </row>
    <row r="12" spans="1:23" x14ac:dyDescent="0.2">
      <c r="A12" s="2">
        <v>1.1000000000000001</v>
      </c>
      <c r="B12" s="18">
        <f t="shared" si="2"/>
        <v>9.5310179804324935E-2</v>
      </c>
      <c r="C12" s="18">
        <f t="shared" si="3"/>
        <v>0.21830045786063407</v>
      </c>
      <c r="D12" s="9">
        <f t="shared" si="4"/>
        <v>0.5864024911293334</v>
      </c>
      <c r="E12" s="14">
        <f t="shared" si="5"/>
        <v>0.41359750887066671</v>
      </c>
      <c r="F12" s="9">
        <f t="shared" si="6"/>
        <v>0.3312003992176874</v>
      </c>
      <c r="G12" s="9">
        <f t="shared" si="7"/>
        <v>0.24246810972680688</v>
      </c>
      <c r="H12" s="18">
        <f t="shared" si="8"/>
        <v>0.75753189027319312</v>
      </c>
      <c r="I12" s="3">
        <f t="shared" si="9"/>
        <v>0.70531335580470111</v>
      </c>
      <c r="J12" s="3">
        <f t="shared" si="10"/>
        <v>-5.2218534468492006E-2</v>
      </c>
      <c r="K12" s="21">
        <f t="shared" si="13"/>
        <v>0.70531335580470111</v>
      </c>
      <c r="L12" s="172"/>
      <c r="M12" s="15"/>
      <c r="N12" s="2"/>
      <c r="O12" s="2"/>
      <c r="P12" s="135"/>
      <c r="R12" s="2"/>
      <c r="U12" s="3"/>
      <c r="V12" s="3"/>
    </row>
    <row r="13" spans="1:23" x14ac:dyDescent="0.2">
      <c r="A13" s="2">
        <v>1.1499999999999999</v>
      </c>
      <c r="B13" s="18">
        <f t="shared" si="2"/>
        <v>0.13976194237515863</v>
      </c>
      <c r="C13" s="18">
        <f t="shared" si="3"/>
        <v>0.26435009208922039</v>
      </c>
      <c r="D13" s="9">
        <f t="shared" si="4"/>
        <v>0.6042449176533421</v>
      </c>
      <c r="E13" s="14">
        <f t="shared" si="5"/>
        <v>0.39575508234665741</v>
      </c>
      <c r="F13" s="9">
        <f t="shared" si="6"/>
        <v>0.29850672470374073</v>
      </c>
      <c r="G13" s="9">
        <f t="shared" si="7"/>
        <v>0.29148221146985809</v>
      </c>
      <c r="H13" s="18">
        <f t="shared" si="8"/>
        <v>0.70851778853014191</v>
      </c>
      <c r="I13" s="3">
        <f t="shared" si="9"/>
        <v>0.65495806548712143</v>
      </c>
      <c r="J13" s="3">
        <f t="shared" si="10"/>
        <v>-5.355972304302048E-2</v>
      </c>
      <c r="K13" s="21">
        <f t="shared" si="13"/>
        <v>0.65495806548712143</v>
      </c>
      <c r="L13" s="172"/>
      <c r="M13" s="15"/>
      <c r="N13" s="2"/>
      <c r="O13" s="2"/>
      <c r="P13" s="135"/>
      <c r="R13" s="2"/>
      <c r="U13" s="3"/>
      <c r="V13" s="3"/>
    </row>
    <row r="14" spans="1:23" x14ac:dyDescent="0.2">
      <c r="A14" s="2">
        <v>1.2</v>
      </c>
      <c r="B14" s="18">
        <f t="shared" si="2"/>
        <v>0.18232155679395459</v>
      </c>
      <c r="C14" s="18">
        <f t="shared" si="3"/>
        <v>0.30192843257463731</v>
      </c>
      <c r="D14" s="9">
        <f t="shared" si="4"/>
        <v>0.61864668971248116</v>
      </c>
      <c r="E14" s="14">
        <f t="shared" si="5"/>
        <v>0.38135331028751862</v>
      </c>
      <c r="F14" s="9">
        <f t="shared" si="6"/>
        <v>0.27296940448232948</v>
      </c>
      <c r="G14" s="9">
        <f t="shared" si="7"/>
        <v>0.33061432403862678</v>
      </c>
      <c r="H14" s="18">
        <f t="shared" si="8"/>
        <v>0.66938567596137322</v>
      </c>
      <c r="I14" s="3">
        <f t="shared" si="9"/>
        <v>0.6164315054603372</v>
      </c>
      <c r="J14" s="3">
        <f t="shared" si="10"/>
        <v>-5.2954170501036013E-2</v>
      </c>
      <c r="K14" s="21">
        <f t="shared" si="13"/>
        <v>0.6164315054603372</v>
      </c>
      <c r="L14" s="172"/>
      <c r="M14" s="15"/>
      <c r="N14" s="2"/>
      <c r="O14" s="2"/>
      <c r="P14" s="135"/>
      <c r="R14" s="2"/>
      <c r="U14" s="3"/>
      <c r="V14" s="3"/>
    </row>
    <row r="15" spans="1:23" x14ac:dyDescent="0.2">
      <c r="A15" s="2">
        <v>1.25</v>
      </c>
      <c r="B15" s="18">
        <f t="shared" si="2"/>
        <v>0.22314355131420976</v>
      </c>
      <c r="C15" s="18">
        <f t="shared" si="3"/>
        <v>0.33402361541828879</v>
      </c>
      <c r="D15" s="9">
        <f t="shared" si="4"/>
        <v>0.6308191307112414</v>
      </c>
      <c r="E15" s="14">
        <f t="shared" si="5"/>
        <v>0.36918086928875871</v>
      </c>
      <c r="F15" s="9">
        <f t="shared" si="6"/>
        <v>0.25205172210552967</v>
      </c>
      <c r="G15" s="9">
        <f t="shared" si="7"/>
        <v>0.36334494158262909</v>
      </c>
      <c r="H15" s="18">
        <f t="shared" si="8"/>
        <v>0.63665505841737091</v>
      </c>
      <c r="I15" s="3">
        <f t="shared" si="9"/>
        <v>0.58524044581924994</v>
      </c>
      <c r="J15" s="3">
        <f t="shared" si="10"/>
        <v>-5.1414612598120968E-2</v>
      </c>
      <c r="K15" s="21">
        <f t="shared" si="13"/>
        <v>0.58524044581924994</v>
      </c>
      <c r="L15" s="172"/>
      <c r="M15" s="15"/>
      <c r="N15" s="2"/>
      <c r="O15" s="2"/>
      <c r="P15" s="135"/>
      <c r="R15" s="2"/>
      <c r="U15" s="3"/>
      <c r="V15" s="3"/>
    </row>
    <row r="16" spans="1:23" x14ac:dyDescent="0.2">
      <c r="A16" s="2">
        <v>1.3</v>
      </c>
      <c r="B16" s="18">
        <f t="shared" si="2"/>
        <v>0.26236426446749106</v>
      </c>
      <c r="C16" s="18">
        <f t="shared" si="3"/>
        <v>0.36219074012700203</v>
      </c>
      <c r="D16" s="9">
        <f t="shared" si="4"/>
        <v>0.64139525060066138</v>
      </c>
      <c r="E16" s="14">
        <f t="shared" si="5"/>
        <v>0.35860474939933806</v>
      </c>
      <c r="F16" s="9">
        <f t="shared" si="6"/>
        <v>0.23441578320668277</v>
      </c>
      <c r="G16" s="9">
        <f t="shared" si="7"/>
        <v>0.39149949358334757</v>
      </c>
      <c r="H16" s="18">
        <f t="shared" si="8"/>
        <v>0.60850050641665243</v>
      </c>
      <c r="I16" s="3">
        <f t="shared" si="9"/>
        <v>0.55910103647245313</v>
      </c>
      <c r="J16" s="3">
        <f t="shared" si="10"/>
        <v>-4.9399469944199303E-2</v>
      </c>
      <c r="K16" s="21">
        <f t="shared" si="13"/>
        <v>0.55910103647245313</v>
      </c>
      <c r="L16" s="16"/>
      <c r="M16" s="15"/>
      <c r="N16" s="2"/>
      <c r="O16" s="2"/>
      <c r="P16" s="135"/>
      <c r="R16" s="2"/>
      <c r="U16" s="3"/>
      <c r="V16" s="3"/>
    </row>
    <row r="17" spans="1:33" x14ac:dyDescent="0.2">
      <c r="A17" s="2">
        <v>1.35</v>
      </c>
      <c r="B17" s="18">
        <f t="shared" si="2"/>
        <v>0.30010459245033816</v>
      </c>
      <c r="C17" s="18">
        <f t="shared" si="3"/>
        <v>0.38736584287359294</v>
      </c>
      <c r="D17" s="9">
        <f t="shared" si="4"/>
        <v>0.6507573064130785</v>
      </c>
      <c r="E17" s="14">
        <f t="shared" si="5"/>
        <v>0.34924269358692128</v>
      </c>
      <c r="F17" s="9">
        <f t="shared" si="6"/>
        <v>0.21924911184810736</v>
      </c>
      <c r="G17" s="9">
        <f t="shared" si="7"/>
        <v>0.41618314186463534</v>
      </c>
      <c r="H17" s="18">
        <f t="shared" si="8"/>
        <v>0.58381685813536466</v>
      </c>
      <c r="I17" s="3">
        <f t="shared" si="9"/>
        <v>0.53667118316645401</v>
      </c>
      <c r="J17" s="3">
        <f t="shared" si="10"/>
        <v>-4.7145674968910645E-2</v>
      </c>
      <c r="K17" s="21">
        <f t="shared" si="13"/>
        <v>0.53667118316645401</v>
      </c>
      <c r="L17" s="16"/>
      <c r="M17" s="15"/>
      <c r="N17" s="2"/>
      <c r="O17" s="2"/>
      <c r="P17" s="135"/>
      <c r="R17" s="2"/>
      <c r="U17" s="3"/>
      <c r="V17" s="3"/>
    </row>
    <row r="18" spans="1:33" x14ac:dyDescent="0.2">
      <c r="A18" s="2">
        <v>1.4</v>
      </c>
      <c r="B18" s="18">
        <f t="shared" si="2"/>
        <v>0.33647223662121289</v>
      </c>
      <c r="C18" s="18">
        <f t="shared" si="3"/>
        <v>0.41016596434931851</v>
      </c>
      <c r="D18" s="9">
        <f t="shared" si="4"/>
        <v>0.65915789683634096</v>
      </c>
      <c r="E18" s="14">
        <f t="shared" si="5"/>
        <v>0.34084210316365865</v>
      </c>
      <c r="F18" s="9">
        <f t="shared" si="6"/>
        <v>0.20601345471462967</v>
      </c>
      <c r="G18" s="9">
        <f t="shared" si="7"/>
        <v>0.43812737356949305</v>
      </c>
      <c r="H18" s="18">
        <f t="shared" si="8"/>
        <v>0.56187262643050695</v>
      </c>
      <c r="I18" s="3">
        <f t="shared" si="9"/>
        <v>0.51708718775811768</v>
      </c>
      <c r="J18" s="3">
        <f t="shared" si="10"/>
        <v>-4.4785438672389266E-2</v>
      </c>
      <c r="K18" s="21">
        <f t="shared" si="13"/>
        <v>0.51708718775811768</v>
      </c>
      <c r="L18" s="16"/>
      <c r="M18" s="15"/>
      <c r="N18" s="2"/>
      <c r="O18" s="2"/>
      <c r="P18" s="135"/>
      <c r="R18" s="2"/>
      <c r="U18" s="3"/>
      <c r="V18" s="3"/>
    </row>
    <row r="19" spans="1:33" x14ac:dyDescent="0.2">
      <c r="A19" s="7">
        <v>1.5</v>
      </c>
      <c r="B19" s="18">
        <f t="shared" si="2"/>
        <v>0.40546510810816438</v>
      </c>
      <c r="C19" s="18">
        <f t="shared" si="3"/>
        <v>0.4502583192502746</v>
      </c>
      <c r="D19" s="9">
        <f t="shared" si="4"/>
        <v>0.67373790535295353</v>
      </c>
      <c r="E19" s="14">
        <f t="shared" si="5"/>
        <v>0.32626209464704609</v>
      </c>
      <c r="F19" s="9">
        <f t="shared" si="6"/>
        <v>0.18392268742339954</v>
      </c>
      <c r="G19" s="9">
        <f t="shared" si="7"/>
        <v>0.47571974157073837</v>
      </c>
      <c r="H19" s="18">
        <f t="shared" si="8"/>
        <v>0.52428025842926163</v>
      </c>
      <c r="I19" s="3">
        <f t="shared" si="9"/>
        <v>0.48425669990487824</v>
      </c>
      <c r="J19" s="3">
        <f t="shared" si="10"/>
        <v>-4.0023558524383385E-2</v>
      </c>
      <c r="K19" s="21">
        <f t="shared" si="13"/>
        <v>0.48425669990487824</v>
      </c>
      <c r="L19" s="16"/>
      <c r="M19" s="15"/>
      <c r="N19" s="7"/>
      <c r="O19" s="2"/>
      <c r="P19" s="135"/>
      <c r="R19" s="2"/>
      <c r="U19" s="3"/>
      <c r="V19" s="3"/>
    </row>
    <row r="20" spans="1:33" x14ac:dyDescent="0.2">
      <c r="A20" s="7">
        <v>1.6</v>
      </c>
      <c r="B20" s="18">
        <f t="shared" si="2"/>
        <v>0.47000362924573563</v>
      </c>
      <c r="C20" s="18">
        <f t="shared" si="3"/>
        <v>0.48476985737859962</v>
      </c>
      <c r="D20" s="9">
        <f t="shared" si="4"/>
        <v>0.68608019666054254</v>
      </c>
      <c r="E20" s="14">
        <f t="shared" si="5"/>
        <v>0.31391980333945718</v>
      </c>
      <c r="F20" s="9">
        <f t="shared" si="6"/>
        <v>0.16613798748279254</v>
      </c>
      <c r="G20" s="170">
        <f t="shared" si="7"/>
        <v>0.50701450107249579</v>
      </c>
      <c r="H20" s="18">
        <f t="shared" si="8"/>
        <v>0.49298549892750421</v>
      </c>
      <c r="I20" s="3">
        <f t="shared" si="9"/>
        <v>0.45755555235006745</v>
      </c>
      <c r="J20" s="3">
        <f t="shared" si="10"/>
        <v>-3.5429946577436755E-2</v>
      </c>
      <c r="K20" s="21">
        <f t="shared" si="13"/>
        <v>0.45755555235006745</v>
      </c>
      <c r="L20" s="16"/>
      <c r="M20" s="15"/>
      <c r="N20" s="7"/>
      <c r="O20" s="2"/>
      <c r="P20" s="135"/>
      <c r="R20" s="2"/>
      <c r="U20" s="3"/>
      <c r="V20" s="3"/>
    </row>
    <row r="21" spans="1:33" x14ac:dyDescent="0.2">
      <c r="A21" s="7">
        <v>1.7</v>
      </c>
      <c r="B21" s="18">
        <f t="shared" si="2"/>
        <v>0.53062825106217038</v>
      </c>
      <c r="C21" s="18">
        <f t="shared" si="3"/>
        <v>0.51508652237375152</v>
      </c>
      <c r="D21" s="9">
        <f t="shared" si="4"/>
        <v>0.69675371984410828</v>
      </c>
      <c r="E21" s="14">
        <f t="shared" si="5"/>
        <v>0.30324628015589183</v>
      </c>
      <c r="F21" s="9">
        <f t="shared" si="6"/>
        <v>0.1514643904239395</v>
      </c>
      <c r="G21" s="9">
        <f t="shared" si="7"/>
        <v>0.53365715057777918</v>
      </c>
      <c r="H21" s="18">
        <f t="shared" si="8"/>
        <v>0.46634284942222082</v>
      </c>
      <c r="I21" s="3">
        <f t="shared" si="9"/>
        <v>0.43522735727014139</v>
      </c>
      <c r="J21" s="3">
        <f t="shared" si="10"/>
        <v>-3.1115492152079427E-2</v>
      </c>
      <c r="K21" s="21">
        <f t="shared" si="13"/>
        <v>0.43522735727014139</v>
      </c>
      <c r="L21" s="16"/>
      <c r="M21" s="15"/>
      <c r="N21" s="7"/>
      <c r="O21" s="2"/>
      <c r="P21" s="135"/>
      <c r="R21" s="2"/>
      <c r="U21" s="3"/>
      <c r="V21" s="3"/>
    </row>
    <row r="22" spans="1:33" x14ac:dyDescent="0.2">
      <c r="A22" s="7">
        <v>1.8</v>
      </c>
      <c r="B22" s="18">
        <f t="shared" si="2"/>
        <v>0.58778666490211906</v>
      </c>
      <c r="C22" s="18">
        <f t="shared" si="3"/>
        <v>0.54211929725020813</v>
      </c>
      <c r="D22" s="9">
        <f t="shared" si="4"/>
        <v>0.70613183708433569</v>
      </c>
      <c r="E22" s="14">
        <f t="shared" si="5"/>
        <v>0.29386816291566409</v>
      </c>
      <c r="F22" s="9">
        <f t="shared" si="6"/>
        <v>0.1391295117833391</v>
      </c>
      <c r="G22" s="9">
        <f t="shared" si="7"/>
        <v>0.55672371980456781</v>
      </c>
      <c r="H22" s="18">
        <f t="shared" si="8"/>
        <v>0.44327628019543219</v>
      </c>
      <c r="I22" s="3">
        <f t="shared" si="9"/>
        <v>0.41616614275468033</v>
      </c>
      <c r="J22" s="3">
        <f t="shared" si="10"/>
        <v>-2.7110137440751858E-2</v>
      </c>
      <c r="K22" s="21">
        <f t="shared" si="13"/>
        <v>0.41616614275468033</v>
      </c>
      <c r="L22" s="16"/>
      <c r="M22" s="15"/>
      <c r="N22" s="7"/>
      <c r="O22" s="2"/>
      <c r="P22" s="135"/>
      <c r="R22" s="2"/>
      <c r="U22" s="3"/>
      <c r="V22" s="3"/>
      <c r="Z22" s="1"/>
      <c r="AA22" s="1"/>
    </row>
    <row r="23" spans="1:33" x14ac:dyDescent="0.2">
      <c r="A23" s="7">
        <v>1.9</v>
      </c>
      <c r="B23" s="18">
        <f t="shared" si="2"/>
        <v>0.64185388617239469</v>
      </c>
      <c r="C23" s="18">
        <f t="shared" si="3"/>
        <v>0.56650414216155331</v>
      </c>
      <c r="D23" s="9">
        <f t="shared" si="4"/>
        <v>0.71447444103153013</v>
      </c>
      <c r="E23" s="14">
        <f t="shared" si="5"/>
        <v>0.28552555896846976</v>
      </c>
      <c r="F23" s="9">
        <f t="shared" si="6"/>
        <v>0.12860538719258377</v>
      </c>
      <c r="G23" s="9">
        <f t="shared" si="7"/>
        <v>0.57695972559774411</v>
      </c>
      <c r="H23" s="18">
        <f t="shared" si="8"/>
        <v>0.42304027440225589</v>
      </c>
      <c r="I23" s="3">
        <f t="shared" si="9"/>
        <v>0.39963019328758531</v>
      </c>
      <c r="J23" s="3">
        <f t="shared" si="10"/>
        <v>-2.3410081114670578E-2</v>
      </c>
      <c r="K23" s="21">
        <f t="shared" si="13"/>
        <v>0.39963019328758531</v>
      </c>
      <c r="L23" s="16"/>
      <c r="M23" s="15"/>
      <c r="N23" s="7"/>
      <c r="O23" s="2"/>
      <c r="P23" s="135"/>
      <c r="R23" s="2"/>
      <c r="U23" s="3"/>
      <c r="V23" s="3"/>
      <c r="AC23" s="1"/>
    </row>
    <row r="24" spans="1:33" x14ac:dyDescent="0.2">
      <c r="A24" s="7">
        <v>2</v>
      </c>
      <c r="B24" s="18">
        <f t="shared" si="2"/>
        <v>0.69314718055994529</v>
      </c>
      <c r="C24" s="18">
        <f t="shared" si="3"/>
        <v>0.58870501125773733</v>
      </c>
      <c r="D24" s="9">
        <f t="shared" si="4"/>
        <v>0.72197041217151103</v>
      </c>
      <c r="E24" s="14">
        <f t="shared" si="5"/>
        <v>0.27802958782848863</v>
      </c>
      <c r="F24" s="9">
        <f t="shared" si="6"/>
        <v>0.11951594572475589</v>
      </c>
      <c r="G24" s="9">
        <f t="shared" si="7"/>
        <v>0.59490403356697508</v>
      </c>
      <c r="H24" s="18">
        <f t="shared" si="8"/>
        <v>0.40509596643302492</v>
      </c>
      <c r="I24" s="3">
        <f t="shared" si="9"/>
        <v>0.38509831309048209</v>
      </c>
      <c r="J24" s="3">
        <f t="shared" si="10"/>
        <v>-1.9997653342542832E-2</v>
      </c>
      <c r="K24" s="21">
        <f t="shared" si="13"/>
        <v>0.38509831309048209</v>
      </c>
      <c r="L24" s="16"/>
      <c r="M24" s="15"/>
      <c r="N24" s="7"/>
      <c r="O24" s="2"/>
      <c r="P24" s="135"/>
      <c r="R24" s="2"/>
      <c r="U24" s="3"/>
      <c r="V24" s="3"/>
      <c r="AC24" s="1"/>
    </row>
    <row r="25" spans="1:33" x14ac:dyDescent="0.2">
      <c r="A25" s="2">
        <v>2.25</v>
      </c>
      <c r="B25" s="18">
        <f t="shared" si="2"/>
        <v>0.81093021621632877</v>
      </c>
      <c r="C25" s="18">
        <f t="shared" si="3"/>
        <v>0.63676142165505312</v>
      </c>
      <c r="D25" s="9">
        <f t="shared" si="4"/>
        <v>0.73785987078536919</v>
      </c>
      <c r="E25" s="14">
        <f t="shared" si="5"/>
        <v>0.26214012921463059</v>
      </c>
      <c r="F25" s="9">
        <f t="shared" si="6"/>
        <v>0.10141628592806896</v>
      </c>
      <c r="G25" s="9">
        <f t="shared" si="7"/>
        <v>0.63215462515320064</v>
      </c>
      <c r="H25" s="18">
        <f t="shared" si="8"/>
        <v>0.36784537484679936</v>
      </c>
      <c r="I25" s="3">
        <f t="shared" si="9"/>
        <v>0.35527088488443204</v>
      </c>
      <c r="J25" s="3">
        <f t="shared" si="10"/>
        <v>-1.2574489962367319E-2</v>
      </c>
      <c r="K25" s="21">
        <f t="shared" si="13"/>
        <v>0.35527088488443204</v>
      </c>
      <c r="L25" s="16"/>
      <c r="M25" s="15"/>
      <c r="N25" s="7"/>
      <c r="O25" s="2"/>
      <c r="P25" s="135"/>
      <c r="R25" s="2"/>
      <c r="U25" s="3"/>
      <c r="V25" s="3"/>
      <c r="AC25" s="1"/>
      <c r="AE25" s="1"/>
      <c r="AG25" s="1"/>
    </row>
    <row r="26" spans="1:33" x14ac:dyDescent="0.2">
      <c r="A26" s="7">
        <v>2.5</v>
      </c>
      <c r="B26" s="18">
        <f t="shared" si="2"/>
        <v>0.91629073187415511</v>
      </c>
      <c r="C26" s="18">
        <f t="shared" si="3"/>
        <v>0.67686436302783559</v>
      </c>
      <c r="D26" s="9">
        <f t="shared" si="4"/>
        <v>0.75075399164094347</v>
      </c>
      <c r="E26" s="14">
        <f t="shared" si="5"/>
        <v>0.2492460083590563</v>
      </c>
      <c r="F26" s="9">
        <f t="shared" si="6"/>
        <v>8.7911469968438599E-2</v>
      </c>
      <c r="G26" s="9">
        <f t="shared" si="7"/>
        <v>0.66154920651709448</v>
      </c>
      <c r="H26" s="18">
        <f t="shared" si="8"/>
        <v>0.33845079348290552</v>
      </c>
      <c r="I26" s="3">
        <f t="shared" si="9"/>
        <v>0.33199424995966087</v>
      </c>
      <c r="J26" s="3">
        <f t="shared" si="10"/>
        <v>-6.4565435232446511E-3</v>
      </c>
      <c r="K26" s="21">
        <f t="shared" si="13"/>
        <v>0.33199424995966087</v>
      </c>
      <c r="L26" s="16"/>
      <c r="M26" s="15"/>
      <c r="N26" s="7"/>
      <c r="O26" s="2"/>
      <c r="P26" s="135"/>
      <c r="R26" s="2"/>
      <c r="U26" s="3"/>
      <c r="V26" s="3"/>
    </row>
    <row r="27" spans="1:33" x14ac:dyDescent="0.2">
      <c r="A27" s="7">
        <v>3</v>
      </c>
      <c r="B27" s="18">
        <f t="shared" si="2"/>
        <v>1.0986122886681098</v>
      </c>
      <c r="C27" s="18">
        <f t="shared" si="3"/>
        <v>0.74115190368375561</v>
      </c>
      <c r="D27" s="9">
        <f t="shared" si="4"/>
        <v>0.77069932908598737</v>
      </c>
      <c r="E27" s="14">
        <f t="shared" si="5"/>
        <v>0.22930067091401235</v>
      </c>
      <c r="F27" s="9">
        <f t="shared" si="6"/>
        <v>6.9129737849740858E-2</v>
      </c>
      <c r="G27" s="9">
        <f t="shared" si="7"/>
        <v>0.70542914926776401</v>
      </c>
      <c r="H27" s="18">
        <f t="shared" si="8"/>
        <v>0.29457085073223599</v>
      </c>
      <c r="I27" s="3">
        <f t="shared" si="9"/>
        <v>0.29752286301579151</v>
      </c>
      <c r="J27" s="3">
        <f t="shared" si="10"/>
        <v>2.9520122835555163E-3</v>
      </c>
      <c r="K27" s="21">
        <f t="shared" si="13"/>
        <v>0.29752286301579151</v>
      </c>
      <c r="L27" s="16"/>
      <c r="M27" s="15"/>
      <c r="N27" s="7"/>
      <c r="O27" s="2"/>
      <c r="P27" s="135"/>
      <c r="R27" s="2"/>
      <c r="U27" s="3"/>
      <c r="V27" s="3"/>
    </row>
    <row r="28" spans="1:33" x14ac:dyDescent="0.2">
      <c r="A28" s="7">
        <v>3.5</v>
      </c>
      <c r="B28" s="18">
        <f t="shared" si="2"/>
        <v>1.2527629684953681</v>
      </c>
      <c r="C28" s="18">
        <f t="shared" si="3"/>
        <v>0.79144266011359532</v>
      </c>
      <c r="D28" s="9">
        <f t="shared" si="4"/>
        <v>0.7856571379306968</v>
      </c>
      <c r="E28" s="14">
        <f t="shared" si="5"/>
        <v>0.21434286206930298</v>
      </c>
      <c r="F28" s="9">
        <f t="shared" si="6"/>
        <v>5.6723802611259949E-2</v>
      </c>
      <c r="G28" s="9">
        <f t="shared" si="7"/>
        <v>0.73697457931638621</v>
      </c>
      <c r="H28" s="18">
        <f t="shared" si="8"/>
        <v>0.26302542068361379</v>
      </c>
      <c r="I28" s="3">
        <f t="shared" si="9"/>
        <v>0.27281984942420329</v>
      </c>
      <c r="J28" s="3">
        <f t="shared" si="10"/>
        <v>9.7944287405895003E-3</v>
      </c>
      <c r="K28" s="21">
        <f t="shared" si="13"/>
        <v>0.27281984942420329</v>
      </c>
      <c r="L28" s="16"/>
      <c r="M28" s="15"/>
      <c r="N28" s="7"/>
      <c r="O28" s="2"/>
      <c r="P28" s="135"/>
      <c r="R28" s="2"/>
      <c r="U28" s="3"/>
      <c r="V28" s="3"/>
    </row>
    <row r="29" spans="1:33" x14ac:dyDescent="0.2">
      <c r="A29" s="7">
        <v>4</v>
      </c>
      <c r="B29" s="18">
        <f t="shared" si="2"/>
        <v>1.3862943611198906</v>
      </c>
      <c r="C29" s="18">
        <f t="shared" si="3"/>
        <v>0.83255461115769769</v>
      </c>
      <c r="D29" s="9">
        <f t="shared" si="4"/>
        <v>0.79745201678348754</v>
      </c>
      <c r="E29" s="14">
        <f t="shared" si="5"/>
        <v>0.20254798321651218</v>
      </c>
      <c r="F29" s="9">
        <f t="shared" si="6"/>
        <v>4.7945483571232683E-2</v>
      </c>
      <c r="G29" s="9">
        <f t="shared" si="7"/>
        <v>0.76096810855048802</v>
      </c>
      <c r="H29" s="18">
        <f t="shared" si="8"/>
        <v>0.23903189144951198</v>
      </c>
      <c r="I29" s="3">
        <f t="shared" si="9"/>
        <v>0.25399394440494005</v>
      </c>
      <c r="J29" s="3">
        <f t="shared" si="10"/>
        <v>1.4962052955428073E-2</v>
      </c>
      <c r="K29" s="21">
        <f t="shared" si="13"/>
        <v>0.25399394440494005</v>
      </c>
      <c r="L29" s="16"/>
      <c r="M29" s="15"/>
      <c r="N29" s="7"/>
      <c r="O29" s="2"/>
      <c r="P29" s="135"/>
      <c r="R29" s="2"/>
      <c r="U29" s="3"/>
      <c r="V29" s="3"/>
    </row>
    <row r="30" spans="1:33" x14ac:dyDescent="0.2">
      <c r="A30" s="7">
        <v>4.5</v>
      </c>
      <c r="B30" s="18">
        <f t="shared" si="2"/>
        <v>1.5040773967762742</v>
      </c>
      <c r="C30" s="18">
        <f t="shared" si="3"/>
        <v>0.86720164805432487</v>
      </c>
      <c r="D30" s="9">
        <f t="shared" si="4"/>
        <v>0.80708423327934486</v>
      </c>
      <c r="E30" s="14">
        <f t="shared" si="5"/>
        <v>0.19291576672065511</v>
      </c>
      <c r="F30" s="9">
        <f t="shared" si="6"/>
        <v>4.1423275328995812E-2</v>
      </c>
      <c r="G30" s="9">
        <f t="shared" si="7"/>
        <v>0.7799549478643244</v>
      </c>
      <c r="H30" s="18">
        <f t="shared" si="8"/>
        <v>0.2200450521356756</v>
      </c>
      <c r="I30" s="3">
        <f t="shared" si="9"/>
        <v>0.23902804535878461</v>
      </c>
      <c r="J30" s="3">
        <f t="shared" si="10"/>
        <v>1.8982993223109007E-2</v>
      </c>
      <c r="K30" s="21">
        <f t="shared" si="13"/>
        <v>0.23902804535878461</v>
      </c>
      <c r="L30" s="16"/>
      <c r="M30" s="15"/>
      <c r="N30" s="8"/>
      <c r="O30" s="2"/>
      <c r="P30" s="135"/>
      <c r="R30" s="2"/>
      <c r="U30" s="3"/>
      <c r="V30" s="3"/>
    </row>
    <row r="31" spans="1:33" x14ac:dyDescent="0.2">
      <c r="A31" s="8">
        <v>5</v>
      </c>
      <c r="B31" s="18">
        <f t="shared" si="2"/>
        <v>1.6094379124341003</v>
      </c>
      <c r="C31" s="18">
        <f t="shared" si="3"/>
        <v>0.89706128899705073</v>
      </c>
      <c r="D31" s="9">
        <f t="shared" si="4"/>
        <v>0.81515689315393791</v>
      </c>
      <c r="E31" s="14">
        <f t="shared" si="5"/>
        <v>0.18484310684606192</v>
      </c>
      <c r="F31" s="9">
        <f t="shared" si="6"/>
        <v>3.6396803031816513E-2</v>
      </c>
      <c r="G31" s="9">
        <f t="shared" si="7"/>
        <v>0.79542916771489569</v>
      </c>
      <c r="H31" s="18">
        <f t="shared" si="8"/>
        <v>0.20457083228510431</v>
      </c>
      <c r="I31" s="3">
        <f t="shared" si="9"/>
        <v>0.22675770566189088</v>
      </c>
      <c r="J31" s="3">
        <f t="shared" si="10"/>
        <v>2.218687337678657E-2</v>
      </c>
      <c r="K31" s="21">
        <f t="shared" si="13"/>
        <v>0.22675770566189088</v>
      </c>
      <c r="L31" s="16"/>
      <c r="M31" s="15"/>
      <c r="N31" s="8"/>
      <c r="O31" s="2"/>
      <c r="P31" s="135"/>
      <c r="R31" s="2"/>
      <c r="U31" s="3"/>
      <c r="V31" s="3"/>
    </row>
    <row r="32" spans="1:33" x14ac:dyDescent="0.2">
      <c r="A32" s="8">
        <v>6</v>
      </c>
      <c r="B32" s="18">
        <f t="shared" si="2"/>
        <v>1.791759469228055</v>
      </c>
      <c r="C32" s="18">
        <f t="shared" si="3"/>
        <v>0.94650923641242268</v>
      </c>
      <c r="D32" s="10">
        <f t="shared" si="4"/>
        <v>0.82805554325284092</v>
      </c>
      <c r="E32" s="14">
        <f t="shared" si="5"/>
        <v>0.17194445674715886</v>
      </c>
      <c r="F32" s="9">
        <f t="shared" si="6"/>
        <v>2.9177706446745159E-2</v>
      </c>
      <c r="G32" s="10">
        <f t="shared" si="7"/>
        <v>0.81928806395866438</v>
      </c>
      <c r="H32" s="18">
        <f t="shared" si="8"/>
        <v>0.18071193604133562</v>
      </c>
      <c r="I32" s="3">
        <f t="shared" si="9"/>
        <v>0.20764845806322565</v>
      </c>
      <c r="J32" s="3">
        <f t="shared" si="10"/>
        <v>2.6936522021890036E-2</v>
      </c>
      <c r="K32" s="21">
        <f t="shared" si="13"/>
        <v>0.20764845806322565</v>
      </c>
      <c r="L32" s="16"/>
      <c r="M32" s="15"/>
      <c r="N32" s="8"/>
      <c r="O32" s="2"/>
      <c r="P32" s="135"/>
      <c r="R32" s="2"/>
      <c r="U32" s="3"/>
      <c r="V32" s="3"/>
    </row>
    <row r="33" spans="1:22" x14ac:dyDescent="0.2">
      <c r="A33" s="8">
        <v>7</v>
      </c>
      <c r="B33" s="18">
        <f t="shared" ref="B33:B42" si="14">LN(A33)</f>
        <v>1.9459101490553132</v>
      </c>
      <c r="C33" s="18">
        <f t="shared" ref="C33:C42" si="15">SQRT((B33)/2)</f>
        <v>0.98638485112437557</v>
      </c>
      <c r="D33" s="10">
        <f t="shared" si="4"/>
        <v>0.83802785199313079</v>
      </c>
      <c r="E33" s="14">
        <f t="shared" si="5"/>
        <v>0.16197214800686915</v>
      </c>
      <c r="F33" s="9">
        <f t="shared" si="6"/>
        <v>2.4260903260680807E-2</v>
      </c>
      <c r="G33" s="10">
        <f t="shared" si="7"/>
        <v>0.83697174633398719</v>
      </c>
      <c r="H33" s="18">
        <f t="shared" si="8"/>
        <v>0.16302825366601281</v>
      </c>
      <c r="I33" s="3">
        <f t="shared" si="9"/>
        <v>0.19327776233408156</v>
      </c>
      <c r="J33" s="3">
        <f t="shared" si="10"/>
        <v>3.0249508668068747E-2</v>
      </c>
      <c r="K33" s="21">
        <f t="shared" si="13"/>
        <v>0.19327776233408156</v>
      </c>
      <c r="L33" s="16"/>
      <c r="M33" s="15"/>
      <c r="N33" s="8"/>
      <c r="O33" s="2"/>
      <c r="P33" s="135"/>
      <c r="R33" s="2"/>
      <c r="U33" s="3"/>
      <c r="V33" s="3"/>
    </row>
    <row r="34" spans="1:22" x14ac:dyDescent="0.2">
      <c r="A34" s="8">
        <v>8</v>
      </c>
      <c r="B34" s="18">
        <f t="shared" si="14"/>
        <v>2.0794415416798357</v>
      </c>
      <c r="C34" s="18">
        <f t="shared" si="15"/>
        <v>1.0196669901688089</v>
      </c>
      <c r="D34" s="13">
        <f t="shared" si="4"/>
        <v>0.84605678894448677</v>
      </c>
      <c r="E34" s="14">
        <f t="shared" si="5"/>
        <v>0.15394321105551323</v>
      </c>
      <c r="F34" s="9">
        <f t="shared" si="6"/>
        <v>2.070835324368419E-2</v>
      </c>
      <c r="G34" s="9">
        <f t="shared" si="7"/>
        <v>0.85070521110519737</v>
      </c>
      <c r="H34" s="18">
        <f t="shared" si="8"/>
        <v>0.14929478889480263</v>
      </c>
      <c r="I34" s="3">
        <f t="shared" si="9"/>
        <v>0.1819537566119738</v>
      </c>
      <c r="J34" s="3">
        <f t="shared" si="10"/>
        <v>3.2658967717171167E-2</v>
      </c>
      <c r="K34" s="21">
        <f t="shared" si="13"/>
        <v>0.1819537566119738</v>
      </c>
      <c r="L34" s="16"/>
      <c r="M34" s="15"/>
      <c r="N34" s="8"/>
      <c r="O34" s="2"/>
      <c r="P34" s="135"/>
      <c r="R34" s="2"/>
      <c r="U34" s="3"/>
      <c r="V34" s="3"/>
    </row>
    <row r="35" spans="1:22" x14ac:dyDescent="0.2">
      <c r="A35" s="8">
        <v>9</v>
      </c>
      <c r="B35" s="18">
        <f t="shared" si="14"/>
        <v>2.1972245773362196</v>
      </c>
      <c r="C35" s="18">
        <f t="shared" si="15"/>
        <v>1.0481470739682051</v>
      </c>
      <c r="D35" s="13">
        <f t="shared" si="4"/>
        <v>0.85271457463388201</v>
      </c>
      <c r="E35" s="14">
        <f t="shared" si="5"/>
        <v>0.14728542536611813</v>
      </c>
      <c r="F35" s="9">
        <f t="shared" si="6"/>
        <v>1.802805277971473E-2</v>
      </c>
      <c r="G35" s="9">
        <f t="shared" si="7"/>
        <v>0.86174052430051828</v>
      </c>
      <c r="H35" s="18">
        <f t="shared" si="8"/>
        <v>0.13825947569948172</v>
      </c>
      <c r="I35" s="3">
        <f t="shared" si="9"/>
        <v>0.17272535235996858</v>
      </c>
      <c r="J35" s="3">
        <f t="shared" si="10"/>
        <v>3.4465876660486866E-2</v>
      </c>
      <c r="K35" s="21">
        <f t="shared" si="13"/>
        <v>0.17272535235996858</v>
      </c>
      <c r="L35" s="16"/>
      <c r="M35" s="15"/>
      <c r="N35" s="8"/>
      <c r="O35" s="2"/>
      <c r="P35" s="135"/>
      <c r="R35" s="2"/>
      <c r="U35" s="3"/>
      <c r="V35" s="3"/>
    </row>
    <row r="36" spans="1:22" x14ac:dyDescent="0.2">
      <c r="A36" s="8">
        <v>10</v>
      </c>
      <c r="B36" s="18">
        <f t="shared" si="14"/>
        <v>2.3025850929940459</v>
      </c>
      <c r="C36" s="18">
        <f t="shared" si="15"/>
        <v>1.0729830131446736</v>
      </c>
      <c r="D36" s="9">
        <f t="shared" si="4"/>
        <v>0.85836063110879257</v>
      </c>
      <c r="E36" s="14">
        <f t="shared" si="5"/>
        <v>0.14163936889120723</v>
      </c>
      <c r="F36" s="9">
        <f t="shared" si="6"/>
        <v>1.5937844653401447E-2</v>
      </c>
      <c r="G36" s="9">
        <f t="shared" si="7"/>
        <v>0.87084112130159341</v>
      </c>
      <c r="H36" s="18">
        <f t="shared" si="8"/>
        <v>0.12915887869840659</v>
      </c>
      <c r="I36" s="3">
        <f t="shared" si="9"/>
        <v>0.1650114925567403</v>
      </c>
      <c r="J36" s="3">
        <f t="shared" si="10"/>
        <v>3.5852613858333715E-2</v>
      </c>
      <c r="K36" s="21">
        <f t="shared" si="13"/>
        <v>0.1650114925567403</v>
      </c>
      <c r="L36" s="16"/>
      <c r="M36" s="15"/>
      <c r="N36" s="8"/>
      <c r="O36" s="2"/>
      <c r="P36" s="135"/>
      <c r="R36" s="2"/>
      <c r="U36" s="3"/>
      <c r="V36" s="3"/>
    </row>
    <row r="37" spans="1:22" x14ac:dyDescent="0.2">
      <c r="A37" s="8">
        <v>11</v>
      </c>
      <c r="B37" s="18">
        <f t="shared" si="14"/>
        <v>2.3978952727983707</v>
      </c>
      <c r="C37" s="18">
        <f t="shared" si="15"/>
        <v>1.0949646735850365</v>
      </c>
      <c r="D37" s="9">
        <f t="shared" si="4"/>
        <v>0.86323394332549308</v>
      </c>
      <c r="E37" s="14">
        <f t="shared" si="5"/>
        <v>0.13676605667450686</v>
      </c>
      <c r="F37" s="9">
        <f t="shared" si="6"/>
        <v>1.4264680612542557E-2</v>
      </c>
      <c r="G37" s="9">
        <f t="shared" si="7"/>
        <v>0.87850138025344515</v>
      </c>
      <c r="H37" s="18">
        <f t="shared" si="8"/>
        <v>0.12149861974655485</v>
      </c>
      <c r="I37" s="3">
        <f t="shared" si="9"/>
        <v>0.15843452140868558</v>
      </c>
      <c r="J37" s="3">
        <f t="shared" si="10"/>
        <v>3.6935901662130732E-2</v>
      </c>
      <c r="K37" s="21">
        <f t="shared" si="13"/>
        <v>0.15843452140868558</v>
      </c>
      <c r="L37" s="16"/>
      <c r="M37" s="15"/>
      <c r="N37" s="8"/>
      <c r="O37" s="2"/>
      <c r="P37" s="135"/>
      <c r="R37" s="2"/>
      <c r="U37" s="3"/>
      <c r="V37" s="3"/>
    </row>
    <row r="38" spans="1:22" x14ac:dyDescent="0.2">
      <c r="A38" s="8">
        <v>12</v>
      </c>
      <c r="B38" s="18">
        <f t="shared" si="14"/>
        <v>2.4849066497880004</v>
      </c>
      <c r="C38" s="18">
        <f t="shared" si="15"/>
        <v>1.1146539036373577</v>
      </c>
      <c r="D38" s="9">
        <f t="shared" si="4"/>
        <v>0.86750061918239729</v>
      </c>
      <c r="E38" s="14">
        <f t="shared" si="5"/>
        <v>0.13249938081760257</v>
      </c>
      <c r="F38" s="9">
        <f t="shared" si="6"/>
        <v>1.2896715769495691E-2</v>
      </c>
      <c r="G38" s="9">
        <f t="shared" si="7"/>
        <v>0.88505683191271589</v>
      </c>
      <c r="H38" s="18">
        <f t="shared" si="8"/>
        <v>0.11494316808728411</v>
      </c>
      <c r="I38" s="3">
        <f t="shared" si="9"/>
        <v>0.15273692938972289</v>
      </c>
      <c r="J38" s="3">
        <f t="shared" si="10"/>
        <v>3.7793761302438778E-2</v>
      </c>
      <c r="K38" s="21">
        <f t="shared" si="13"/>
        <v>0.15273692938972289</v>
      </c>
      <c r="L38" s="16"/>
      <c r="M38" s="15"/>
      <c r="N38" s="8"/>
      <c r="O38" s="2"/>
      <c r="P38" s="135"/>
      <c r="R38" s="2"/>
      <c r="U38" s="3"/>
      <c r="V38" s="3"/>
    </row>
    <row r="39" spans="1:22" x14ac:dyDescent="0.2">
      <c r="A39" s="8">
        <v>15</v>
      </c>
      <c r="B39" s="18">
        <f t="shared" si="14"/>
        <v>2.7080502011022101</v>
      </c>
      <c r="C39" s="18">
        <f t="shared" si="15"/>
        <v>1.1636258421636678</v>
      </c>
      <c r="D39" s="9">
        <f t="shared" si="4"/>
        <v>0.87771216298033883</v>
      </c>
      <c r="E39" s="14">
        <f t="shared" si="5"/>
        <v>0.1222878370196613</v>
      </c>
      <c r="F39" s="9">
        <f t="shared" si="6"/>
        <v>9.97593682919856E-3</v>
      </c>
      <c r="G39" s="9">
        <f t="shared" si="7"/>
        <v>0.90015704327358215</v>
      </c>
      <c r="H39" s="18">
        <f t="shared" si="8"/>
        <v>9.9842956726417853E-2</v>
      </c>
      <c r="I39" s="3">
        <f t="shared" si="9"/>
        <v>0.13932567210237062</v>
      </c>
      <c r="J39" s="3">
        <f t="shared" si="10"/>
        <v>3.948271537595277E-2</v>
      </c>
      <c r="K39" s="21">
        <f t="shared" si="13"/>
        <v>0.13932567210237062</v>
      </c>
      <c r="L39" s="16"/>
      <c r="M39" s="15"/>
      <c r="N39" s="8"/>
      <c r="O39" s="2"/>
      <c r="P39" s="135"/>
      <c r="R39" s="2"/>
      <c r="U39" s="3"/>
      <c r="V39" s="3"/>
    </row>
    <row r="40" spans="1:22" x14ac:dyDescent="0.2">
      <c r="A40" s="8">
        <v>20</v>
      </c>
      <c r="B40" s="18">
        <f t="shared" si="14"/>
        <v>2.9957322735539909</v>
      </c>
      <c r="C40" s="18">
        <f t="shared" si="15"/>
        <v>1.2238734153404083</v>
      </c>
      <c r="D40" s="9">
        <f t="shared" si="4"/>
        <v>0.88950000812148167</v>
      </c>
      <c r="E40" s="14">
        <f t="shared" si="5"/>
        <v>0.11049999187851822</v>
      </c>
      <c r="F40" s="9">
        <f t="shared" si="6"/>
        <v>7.1876312123218397E-3</v>
      </c>
      <c r="G40" s="9">
        <f t="shared" si="7"/>
        <v>0.91651583782827428</v>
      </c>
      <c r="H40" s="18">
        <f t="shared" si="8"/>
        <v>8.3484162171725718E-2</v>
      </c>
      <c r="I40" s="3">
        <f t="shared" si="9"/>
        <v>0.12422708360833092</v>
      </c>
      <c r="J40" s="3">
        <f t="shared" si="10"/>
        <v>4.0742921436605198E-2</v>
      </c>
      <c r="K40" s="21">
        <f t="shared" si="13"/>
        <v>0.12422708360833092</v>
      </c>
      <c r="L40" s="16"/>
      <c r="M40" s="15"/>
      <c r="N40" s="8"/>
      <c r="O40" s="2"/>
      <c r="P40" s="135"/>
      <c r="R40" s="2"/>
      <c r="U40" s="3"/>
      <c r="V40" s="3"/>
    </row>
    <row r="41" spans="1:22" x14ac:dyDescent="0.2">
      <c r="A41" s="8">
        <v>25</v>
      </c>
      <c r="B41" s="18">
        <f t="shared" si="14"/>
        <v>3.2188758248682006</v>
      </c>
      <c r="C41" s="18">
        <f t="shared" si="15"/>
        <v>1.2686362411795196</v>
      </c>
      <c r="D41" s="9">
        <f t="shared" si="4"/>
        <v>0.89771458385744785</v>
      </c>
      <c r="E41" s="14">
        <f t="shared" si="5"/>
        <v>0.1022854161425521</v>
      </c>
      <c r="F41" s="9">
        <f t="shared" si="6"/>
        <v>5.5859980145056146E-3</v>
      </c>
      <c r="G41" s="9">
        <f t="shared" si="7"/>
        <v>0.92720639393636706</v>
      </c>
      <c r="H41" s="18">
        <f t="shared" si="8"/>
        <v>7.2793606063632943E-2</v>
      </c>
      <c r="I41" s="3">
        <f t="shared" si="9"/>
        <v>0.11393979554507774</v>
      </c>
      <c r="J41" s="3">
        <f t="shared" si="10"/>
        <v>4.11461894814448E-2</v>
      </c>
      <c r="K41" s="21">
        <f t="shared" si="13"/>
        <v>0.11393979554507774</v>
      </c>
      <c r="L41" s="16"/>
      <c r="M41" s="15"/>
      <c r="N41" s="8"/>
      <c r="O41" s="2"/>
      <c r="P41" s="135"/>
      <c r="R41" s="2"/>
      <c r="U41" s="3"/>
      <c r="V41" s="3"/>
    </row>
    <row r="42" spans="1:22" x14ac:dyDescent="0.2">
      <c r="A42" s="8">
        <v>30</v>
      </c>
      <c r="B42" s="18">
        <f t="shared" si="14"/>
        <v>3.4011973816621555</v>
      </c>
      <c r="C42" s="18">
        <f t="shared" si="15"/>
        <v>1.3040700482838634</v>
      </c>
      <c r="D42" s="9">
        <f t="shared" si="4"/>
        <v>0.90389514998928089</v>
      </c>
      <c r="E42" s="14">
        <f t="shared" si="5"/>
        <v>9.6104850010719098E-2</v>
      </c>
      <c r="F42" s="9">
        <f t="shared" si="6"/>
        <v>4.551784364013464E-3</v>
      </c>
      <c r="G42" s="9">
        <f t="shared" si="7"/>
        <v>0.93485088889762036</v>
      </c>
      <c r="H42" s="18">
        <f t="shared" si="8"/>
        <v>6.5149111102379642E-2</v>
      </c>
      <c r="I42" s="3">
        <f t="shared" si="9"/>
        <v>0.1063230066140512</v>
      </c>
      <c r="J42" s="3">
        <f t="shared" si="10"/>
        <v>4.1173895511671554E-2</v>
      </c>
      <c r="K42" s="21">
        <f t="shared" si="13"/>
        <v>0.1063230066140512</v>
      </c>
      <c r="L42" s="16"/>
      <c r="M42" s="15"/>
      <c r="N42" s="8"/>
      <c r="O42" s="2"/>
      <c r="P42" s="135"/>
      <c r="R42" s="2"/>
      <c r="U42" s="3"/>
      <c r="V42" s="3"/>
    </row>
    <row r="43" spans="1:22" x14ac:dyDescent="0.2">
      <c r="M43" s="15"/>
      <c r="Q43" s="15"/>
    </row>
    <row r="44" spans="1:22" x14ac:dyDescent="0.2">
      <c r="A44" s="136" t="s">
        <v>71</v>
      </c>
      <c r="B44" s="19" t="s">
        <v>74</v>
      </c>
      <c r="C44" s="150" t="s">
        <v>73</v>
      </c>
      <c r="D44" s="9"/>
      <c r="E44" s="14"/>
      <c r="F44" s="9"/>
      <c r="G44" s="6"/>
      <c r="H44" s="136" t="s">
        <v>71</v>
      </c>
      <c r="I44" s="19" t="s">
        <v>74</v>
      </c>
      <c r="J44" s="137" t="s">
        <v>73</v>
      </c>
      <c r="K44" s="16"/>
      <c r="M44" s="15"/>
      <c r="N44" s="136"/>
      <c r="O44" s="136"/>
      <c r="P44" s="137"/>
      <c r="S44" s="1"/>
      <c r="T44" s="5"/>
      <c r="U44" s="4"/>
    </row>
    <row r="45" spans="1:22" x14ac:dyDescent="0.2">
      <c r="A45" s="15" t="str">
        <f>CHAR(COLUMN(B5)+64)&amp;ROW(B5)</f>
        <v>B5</v>
      </c>
      <c r="B45" t="str">
        <f>B4</f>
        <v>Ln(Mn/Md)</v>
      </c>
      <c r="C45" s="18" t="str">
        <f ca="1">_xlfn.FORMULATEXT(B5)</f>
        <v>=LN(A5)</v>
      </c>
      <c r="H45" s="3" t="str">
        <f>CHAR(COLUMN(H5)+64)&amp;ROW(H5)</f>
        <v>H5</v>
      </c>
      <c r="I45" t="str">
        <f>H4</f>
        <v>1-Gini</v>
      </c>
      <c r="J45" t="str">
        <f ca="1">_xlfn.FORMULATEXT(H5)</f>
        <v>=1-G5</v>
      </c>
      <c r="M45" s="15"/>
      <c r="N45" s="135"/>
      <c r="S45" s="1"/>
      <c r="T45" s="1"/>
    </row>
    <row r="46" spans="1:22" x14ac:dyDescent="0.2">
      <c r="A46" s="15" t="str">
        <f>CHAR(COLUMN(C5)+64)&amp;ROW(C5)</f>
        <v>C5</v>
      </c>
      <c r="B46" t="str">
        <f>C4</f>
        <v>Sqrt[()/2]</v>
      </c>
      <c r="C46" s="18" t="str">
        <f ca="1">_xlfn.FORMULATEXT(C5)</f>
        <v>=SQRT((B5)/2)</v>
      </c>
      <c r="H46" s="3" t="str">
        <f>CHAR(COLUMN(I5)+64)&amp;ROW(I5)</f>
        <v>I5</v>
      </c>
      <c r="I46" t="str">
        <f>I4</f>
        <v>rsBelow</v>
      </c>
      <c r="J46" t="str">
        <f ca="1">_xlfn.FORMULATEXT(I5)</f>
        <v>=(1-D5)/D5</v>
      </c>
      <c r="M46" s="15"/>
      <c r="N46" s="135"/>
      <c r="T46" s="1"/>
      <c r="U46" s="124"/>
    </row>
    <row r="47" spans="1:22" x14ac:dyDescent="0.2">
      <c r="A47" s="15" t="str">
        <f>CHAR(COLUMN(D5)+64)&amp;ROW(D5)</f>
        <v>D5</v>
      </c>
      <c r="B47" t="str">
        <f>D4</f>
        <v>cdf#(Mn)</v>
      </c>
      <c r="C47" s="18" t="str">
        <f ca="1">_xlfn.FORMULATEXT(D5)</f>
        <v>=NORM.S.DIST(C5,1)</v>
      </c>
      <c r="H47" s="3" t="str">
        <f>CHAR(COLUMN(J5)+64)&amp;ROW(J5)</f>
        <v>J5</v>
      </c>
      <c r="I47" t="str">
        <f>J4</f>
        <v>Diff</v>
      </c>
      <c r="J47" t="str">
        <f ca="1">_xlfn.FORMULATEXT(J5)</f>
        <v>=I5-H5</v>
      </c>
      <c r="M47" s="15"/>
      <c r="N47" s="135"/>
      <c r="T47" s="123"/>
      <c r="U47" s="18"/>
      <c r="V47" s="4"/>
    </row>
    <row r="48" spans="1:22" x14ac:dyDescent="0.2">
      <c r="A48" s="15" t="str">
        <f>CHAR(COLUMN(E5)+64)&amp;ROW(E5)</f>
        <v>E5</v>
      </c>
      <c r="B48" t="str">
        <f>E4</f>
        <v>cdf$(Mn)</v>
      </c>
      <c r="C48" s="18" t="str">
        <f ca="1">_xlfn.FORMULATEXT(E5)</f>
        <v>=LOGNORM.DIST(L$2*A5, LN(L$2)+2*B5, SQRT(2*B5),1)</v>
      </c>
      <c r="F48" s="9"/>
      <c r="L48" s="16"/>
      <c r="M48" s="15"/>
      <c r="T48" s="123"/>
    </row>
    <row r="49" spans="1:16" x14ac:dyDescent="0.2">
      <c r="A49" s="15" t="str">
        <f>CHAR(COLUMN(F5)+64)&amp;ROW(F5)</f>
        <v>F5</v>
      </c>
      <c r="B49" t="str">
        <f>F4</f>
        <v>cdf$(Md)</v>
      </c>
      <c r="C49" s="18" t="str">
        <f ca="1">_xlfn.FORMULATEXT(F5)</f>
        <v>=LOGNORM.DIST(L$2, LN(L$2)+2*B5, SQRT(2*B5),1)</v>
      </c>
      <c r="F49" s="9"/>
      <c r="L49" s="16"/>
      <c r="M49" s="15"/>
    </row>
    <row r="50" spans="1:16" x14ac:dyDescent="0.2">
      <c r="A50" s="15" t="str">
        <f>CHAR(COLUMN(G5)+64)&amp;ROW(G5)</f>
        <v>G5</v>
      </c>
      <c r="B50" t="str">
        <f>G4</f>
        <v>Gini</v>
      </c>
      <c r="C50" s="18" t="str">
        <f ca="1">_xlfn.FORMULATEXT(G5)</f>
        <v>=2*NORM.S.DIST(SQRT(LN(A5)),1) - 1</v>
      </c>
      <c r="G50" s="6"/>
      <c r="H50" s="9"/>
      <c r="I50" s="9"/>
      <c r="J50" s="16"/>
      <c r="K50" s="21"/>
      <c r="L50" s="16"/>
      <c r="M50" s="15"/>
    </row>
    <row r="51" spans="1:16" x14ac:dyDescent="0.2">
      <c r="A51" s="3" t="str">
        <f>CHAR(COLUMN(K5)+64)&amp;ROW(K5)</f>
        <v>K5</v>
      </c>
      <c r="B51" t="str">
        <f>K4</f>
        <v>rsBelow2</v>
      </c>
      <c r="C51" t="str">
        <f ca="1">_xlfn.FORMULATEXT(K9)</f>
        <v>=(1-NORM.S.DIST(SQRT(LN(A9)/2),1))/NORM.S.DIST(SQRT(LN(A9)/2),1)</v>
      </c>
      <c r="H51" s="3"/>
      <c r="I51"/>
      <c r="L51" s="16"/>
      <c r="M51" s="15"/>
    </row>
    <row r="52" spans="1:16" x14ac:dyDescent="0.2">
      <c r="A52" s="15"/>
      <c r="H52" s="9"/>
      <c r="I52" s="9"/>
      <c r="K52" s="21"/>
      <c r="L52" s="16"/>
      <c r="M52" s="15"/>
    </row>
    <row r="57" spans="1:16" x14ac:dyDescent="0.2">
      <c r="P57" s="17"/>
    </row>
    <row r="59" spans="1:16" x14ac:dyDescent="0.2">
      <c r="E59" s="1" t="s">
        <v>0</v>
      </c>
    </row>
    <row r="93" spans="14:21" x14ac:dyDescent="0.2">
      <c r="N93" s="145" t="s">
        <v>85</v>
      </c>
      <c r="O93" s="18"/>
      <c r="S93">
        <v>-0.17910000000000001</v>
      </c>
      <c r="T93" s="15">
        <v>0.435</v>
      </c>
      <c r="U93">
        <f>T93+S93</f>
        <v>0.25590000000000002</v>
      </c>
    </row>
  </sheetData>
  <phoneticPr fontId="2" type="noConversion"/>
  <pageMargins left="0.7" right="0.7" top="0.75" bottom="0.75" header="0.3" footer="0.3"/>
  <pageSetup orientation="portrait" horizontalDpi="1200" verticalDpi="1200" r:id="rId1"/>
  <headerFooter>
    <oddHeader>&amp;L7/18/2015&amp;CLognormal Distributions 
by Mean-Median Ratio&amp;RV0K</oddHeader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view="pageLayout" zoomScaleNormal="100" workbookViewId="0">
      <selection activeCell="J168" sqref="J168"/>
    </sheetView>
  </sheetViews>
  <sheetFormatPr defaultRowHeight="12.75" x14ac:dyDescent="0.2"/>
  <sheetData>
    <row r="1" spans="1:20" x14ac:dyDescent="0.2">
      <c r="A1" s="22" t="s">
        <v>10</v>
      </c>
      <c r="B1" s="122" t="s">
        <v>11</v>
      </c>
      <c r="C1" s="122" t="s">
        <v>12</v>
      </c>
      <c r="D1" s="122" t="s">
        <v>13</v>
      </c>
      <c r="E1" s="122" t="s">
        <v>14</v>
      </c>
      <c r="F1" s="122" t="s">
        <v>15</v>
      </c>
      <c r="G1" s="122" t="s">
        <v>16</v>
      </c>
      <c r="H1" s="122" t="s">
        <v>17</v>
      </c>
      <c r="I1" s="122" t="s">
        <v>18</v>
      </c>
      <c r="K1" s="28" t="s">
        <v>114</v>
      </c>
      <c r="L1" s="25"/>
      <c r="M1" s="25"/>
      <c r="N1" s="25"/>
      <c r="O1" s="25"/>
      <c r="P1" s="25"/>
      <c r="Q1" s="25"/>
      <c r="R1" s="25"/>
      <c r="S1" s="25"/>
      <c r="T1" s="25"/>
    </row>
    <row r="2" spans="1:20" x14ac:dyDescent="0.2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2"/>
      <c r="K2" s="151" t="s">
        <v>124</v>
      </c>
      <c r="L2" s="25"/>
      <c r="M2" s="25"/>
      <c r="N2" s="25"/>
      <c r="O2" s="25"/>
      <c r="P2" s="25"/>
      <c r="Q2" s="25"/>
      <c r="R2" s="25"/>
      <c r="S2" s="25"/>
      <c r="T2" s="25"/>
    </row>
    <row r="3" spans="1:20" ht="13.5" thickBot="1" x14ac:dyDescent="0.25">
      <c r="A3" s="25"/>
      <c r="B3" s="28" t="s">
        <v>20</v>
      </c>
      <c r="C3" s="28"/>
      <c r="D3" s="28"/>
      <c r="E3" s="25"/>
      <c r="F3" s="25"/>
      <c r="G3" s="28" t="s">
        <v>21</v>
      </c>
      <c r="H3" s="25"/>
      <c r="I3" s="25"/>
      <c r="J3" s="25"/>
      <c r="K3" s="122" t="s">
        <v>109</v>
      </c>
      <c r="L3" s="122" t="s">
        <v>115</v>
      </c>
      <c r="M3" s="122" t="s">
        <v>110</v>
      </c>
      <c r="N3" s="122" t="s">
        <v>111</v>
      </c>
      <c r="O3" s="122" t="s">
        <v>113</v>
      </c>
      <c r="P3" s="122" t="s">
        <v>109</v>
      </c>
      <c r="Q3" s="122" t="s">
        <v>115</v>
      </c>
      <c r="R3" s="122" t="s">
        <v>110</v>
      </c>
      <c r="S3" s="122" t="s">
        <v>111</v>
      </c>
      <c r="T3" s="122" t="s">
        <v>113</v>
      </c>
    </row>
    <row r="4" spans="1:20" ht="15" thickBot="1" x14ac:dyDescent="0.25">
      <c r="A4" s="28" t="s">
        <v>25</v>
      </c>
      <c r="B4" s="30" t="s">
        <v>9</v>
      </c>
      <c r="C4" s="38">
        <v>50</v>
      </c>
      <c r="D4" s="31" t="s">
        <v>26</v>
      </c>
      <c r="E4" s="25"/>
      <c r="F4" s="25"/>
      <c r="G4" s="142" t="s">
        <v>27</v>
      </c>
      <c r="H4" s="32">
        <f>LN(C4)</f>
        <v>3.912023005428146</v>
      </c>
      <c r="I4" s="33" t="str">
        <f ca="1">_xlfn.FORMULATEXT(H4)</f>
        <v>=LN(C4)</v>
      </c>
      <c r="J4" s="25"/>
      <c r="K4" s="122">
        <v>1</v>
      </c>
      <c r="L4" s="37">
        <f t="shared" ref="L4:L35" si="0">_xlfn.LOGNORM.INV(K4/100,H$4,H$7)</f>
        <v>5.2411259499997671</v>
      </c>
      <c r="M4" s="146">
        <f t="shared" ref="M4:M35" si="1">_xlfn.LOGNORM.DIST(L4,H$17, H$20,1)</f>
        <v>4.9055631992604373E-4</v>
      </c>
      <c r="N4" s="146">
        <f>M4</f>
        <v>4.9055631992604373E-4</v>
      </c>
      <c r="O4" s="146">
        <f>K4*N4</f>
        <v>4.9055631992604373E-4</v>
      </c>
      <c r="P4" s="122">
        <v>51</v>
      </c>
      <c r="Q4" s="37">
        <f>_xlfn.LOGNORM.INV(P4/100,H$4,H$7)</f>
        <v>51.230154184061576</v>
      </c>
      <c r="R4" s="146">
        <f>_xlfn.LOGNORM.DIST(Q4,H$17, H$20,1)</f>
        <v>0.17246455664199162</v>
      </c>
      <c r="S4" s="146">
        <f>R4-M53</f>
        <v>6.3265691591989359E-3</v>
      </c>
      <c r="T4" s="146">
        <f>P4*S4</f>
        <v>0.32265502711914573</v>
      </c>
    </row>
    <row r="5" spans="1:20" ht="15" thickBot="1" x14ac:dyDescent="0.25">
      <c r="A5" s="25"/>
      <c r="B5" s="30" t="s">
        <v>35</v>
      </c>
      <c r="C5" s="38">
        <v>80</v>
      </c>
      <c r="D5" s="31" t="s">
        <v>36</v>
      </c>
      <c r="E5" s="25"/>
      <c r="F5" s="25"/>
      <c r="G5" s="143" t="s">
        <v>37</v>
      </c>
      <c r="H5" s="39">
        <f>LN(C5)</f>
        <v>4.3820266346738812</v>
      </c>
      <c r="I5" s="33" t="str">
        <f ca="1">_xlfn.FORMULATEXT(H5)</f>
        <v>=LN(C5)</v>
      </c>
      <c r="J5" s="25"/>
      <c r="K5" s="122">
        <v>2</v>
      </c>
      <c r="L5" s="37">
        <f t="shared" si="0"/>
        <v>6.8266349973423726</v>
      </c>
      <c r="M5" s="146">
        <f t="shared" si="1"/>
        <v>1.2502181936104861E-3</v>
      </c>
      <c r="N5" s="146">
        <f t="shared" ref="N5:N36" si="2">M5-M4</f>
        <v>7.5966187368444241E-4</v>
      </c>
      <c r="O5" s="146">
        <f t="shared" ref="O5:O8" si="3">K5*N5</f>
        <v>1.5193237473688848E-3</v>
      </c>
      <c r="P5" s="122">
        <v>52</v>
      </c>
      <c r="Q5" s="37">
        <f>_xlfn.LOGNORM.INV(P5/100,H$4,H$7)</f>
        <v>52.491376367278512</v>
      </c>
      <c r="R5" s="146">
        <f>_xlfn.LOGNORM.DIST(Q5,H$17, H$20,1)</f>
        <v>0.17894682038927956</v>
      </c>
      <c r="S5" s="146">
        <f>R5-R4</f>
        <v>6.4822637472879419E-3</v>
      </c>
      <c r="T5" s="146">
        <f>P5*S5</f>
        <v>0.33707771485897298</v>
      </c>
    </row>
    <row r="6" spans="1:20" ht="13.5" thickBot="1" x14ac:dyDescent="0.25">
      <c r="A6" s="25"/>
      <c r="B6" s="25"/>
      <c r="C6" s="25"/>
      <c r="D6" s="25"/>
      <c r="E6" s="25"/>
      <c r="F6" s="25"/>
      <c r="G6" s="143" t="s">
        <v>76</v>
      </c>
      <c r="H6" s="39">
        <f>2*(H5-H4)</f>
        <v>0.94000725849147049</v>
      </c>
      <c r="I6" s="33" t="str">
        <f ca="1">_xlfn.FORMULATEXT(H6)</f>
        <v>=2*(H5-H4)</v>
      </c>
      <c r="J6" s="25"/>
      <c r="K6" s="122">
        <v>3</v>
      </c>
      <c r="L6" s="37">
        <f t="shared" si="0"/>
        <v>8.0729495168725069</v>
      </c>
      <c r="M6" s="146">
        <f t="shared" si="1"/>
        <v>2.1836716921487353E-3</v>
      </c>
      <c r="N6" s="146">
        <f t="shared" si="2"/>
        <v>9.334534985382492E-4</v>
      </c>
      <c r="O6" s="146">
        <f t="shared" si="3"/>
        <v>2.8003604956147476E-3</v>
      </c>
      <c r="P6" s="122">
        <v>53</v>
      </c>
      <c r="Q6" s="37">
        <f t="shared" ref="Q6:Q52" si="4">_xlfn.LOGNORM.INV(P6/100,H$4,H$7)</f>
        <v>53.785296257968483</v>
      </c>
      <c r="R6" s="146">
        <f t="shared" ref="R6:R52" si="5">_xlfn.LOGNORM.DIST(Q6,H$17, H$20,1)</f>
        <v>0.18558876298533866</v>
      </c>
      <c r="S6" s="146">
        <f t="shared" ref="S6:S52" si="6">R6-R5</f>
        <v>6.6419425960591028E-3</v>
      </c>
      <c r="T6" s="146">
        <f t="shared" ref="T6:T52" si="7">P6*S6</f>
        <v>0.35202295759113245</v>
      </c>
    </row>
    <row r="7" spans="1:20" ht="13.5" thickBot="1" x14ac:dyDescent="0.25">
      <c r="A7" s="25"/>
      <c r="B7" s="24" t="s">
        <v>39</v>
      </c>
      <c r="C7" s="49">
        <f>EXP(H4-H6)</f>
        <v>19.531250000000011</v>
      </c>
      <c r="D7" s="33" t="str">
        <f ca="1">_xlfn.FORMULATEXT(C7)</f>
        <v>=EXP(H4-H6)</v>
      </c>
      <c r="E7" s="25"/>
      <c r="F7" s="50"/>
      <c r="G7" s="144" t="s">
        <v>77</v>
      </c>
      <c r="H7" s="51">
        <f>SQRT(H6)</f>
        <v>0.9695397147571988</v>
      </c>
      <c r="I7" s="33" t="str">
        <f ca="1">_xlfn.FORMULATEXT(H7)</f>
        <v>=SQRT(H6)</v>
      </c>
      <c r="J7" s="25"/>
      <c r="K7" s="122">
        <v>4</v>
      </c>
      <c r="L7" s="37">
        <f t="shared" si="0"/>
        <v>9.1583252708470511</v>
      </c>
      <c r="M7" s="146">
        <f t="shared" si="1"/>
        <v>3.261867731732618E-3</v>
      </c>
      <c r="N7" s="146">
        <f t="shared" si="2"/>
        <v>1.0781960395838826E-3</v>
      </c>
      <c r="O7" s="146">
        <f t="shared" si="3"/>
        <v>4.3127841583355305E-3</v>
      </c>
      <c r="P7" s="122">
        <v>54</v>
      </c>
      <c r="Q7" s="37">
        <f t="shared" si="4"/>
        <v>55.113653818762579</v>
      </c>
      <c r="R7" s="146">
        <f t="shared" si="5"/>
        <v>0.19239457918876865</v>
      </c>
      <c r="S7" s="146">
        <f t="shared" si="6"/>
        <v>6.8058162034299874E-3</v>
      </c>
      <c r="T7" s="146">
        <f t="shared" si="7"/>
        <v>0.36751407498521932</v>
      </c>
    </row>
    <row r="8" spans="1:20" x14ac:dyDescent="0.2">
      <c r="A8" s="25"/>
      <c r="B8" s="52" t="s">
        <v>41</v>
      </c>
      <c r="C8" s="53">
        <f>_xlfn.LOGNORM.DIST(C7,H$4,H$7,0)</f>
        <v>1.316723057192438E-2</v>
      </c>
      <c r="D8" s="33" t="str">
        <f ca="1">_xlfn.FORMULATEXT(C8)</f>
        <v>=LOGNORM.DIST(C7,H$4,H$7,0)</v>
      </c>
      <c r="E8" s="25"/>
      <c r="F8" s="54"/>
      <c r="G8" s="55"/>
      <c r="H8" s="56"/>
      <c r="J8" s="25"/>
      <c r="K8" s="122">
        <v>5</v>
      </c>
      <c r="L8" s="37">
        <f t="shared" si="0"/>
        <v>10.14795380031261</v>
      </c>
      <c r="M8" s="146">
        <f t="shared" si="1"/>
        <v>4.4693032093891805E-3</v>
      </c>
      <c r="N8" s="146">
        <f t="shared" si="2"/>
        <v>1.2074354776565625E-3</v>
      </c>
      <c r="O8" s="146">
        <f t="shared" si="3"/>
        <v>6.0371773882828125E-3</v>
      </c>
      <c r="P8" s="122">
        <v>55</v>
      </c>
      <c r="Q8" s="37">
        <f t="shared" si="4"/>
        <v>56.478310066250479</v>
      </c>
      <c r="R8" s="146">
        <f t="shared" si="5"/>
        <v>0.19936868870067512</v>
      </c>
      <c r="S8" s="146">
        <f t="shared" si="6"/>
        <v>6.9741095119064678E-3</v>
      </c>
      <c r="T8" s="146">
        <f t="shared" si="7"/>
        <v>0.38357602315485573</v>
      </c>
    </row>
    <row r="9" spans="1:20" x14ac:dyDescent="0.2">
      <c r="A9" s="25"/>
      <c r="B9" s="52" t="s">
        <v>42</v>
      </c>
      <c r="C9" s="57">
        <f>SQRT((EXP($H$7)-1)*EXP(2*$H$5+$H$7))</f>
        <v>166.1925122880946</v>
      </c>
      <c r="D9" s="33" t="str">
        <f ca="1">_xlfn.FORMULATEXT(C9)</f>
        <v>=SQRT((EXP($H$7)-1)*EXP(2*$H$5+$H$7))</v>
      </c>
      <c r="E9" s="25"/>
      <c r="F9" s="25"/>
      <c r="G9" s="25"/>
      <c r="H9" s="141"/>
      <c r="I9" s="30" t="s">
        <v>43</v>
      </c>
      <c r="J9" s="25"/>
      <c r="K9" s="122">
        <v>6</v>
      </c>
      <c r="L9" s="37">
        <f t="shared" si="0"/>
        <v>11.07409124581609</v>
      </c>
      <c r="M9" s="146">
        <f t="shared" si="1"/>
        <v>5.7962280004762532E-3</v>
      </c>
      <c r="N9" s="146">
        <f t="shared" si="2"/>
        <v>1.3269247910870727E-3</v>
      </c>
      <c r="O9" s="146">
        <f t="shared" ref="O9:O53" si="8">K9*N9</f>
        <v>7.9615487465224365E-3</v>
      </c>
      <c r="P9" s="122">
        <v>56</v>
      </c>
      <c r="Q9" s="37">
        <f t="shared" si="4"/>
        <v>57.881259123334061</v>
      </c>
      <c r="R9" s="146">
        <f t="shared" si="5"/>
        <v>0.20651575203573133</v>
      </c>
      <c r="S9" s="146">
        <f t="shared" si="6"/>
        <v>7.1470633350562141E-3</v>
      </c>
      <c r="T9" s="146">
        <f t="shared" si="7"/>
        <v>0.40023554676314799</v>
      </c>
    </row>
    <row r="10" spans="1:20" x14ac:dyDescent="0.2">
      <c r="A10" s="25"/>
      <c r="B10" s="52" t="s">
        <v>134</v>
      </c>
      <c r="C10" s="139">
        <f>_xlfn.NORM.S.DIST(SQRT(LN(C5/C4)/2), 1)</f>
        <v>0.68608019666054254</v>
      </c>
      <c r="D10" s="33" t="str">
        <f ca="1">_xlfn.FORMULATEXT(C10)</f>
        <v>=NORM.S.DIST(SQRT(LN(C5/C4)/2), 1)</v>
      </c>
      <c r="E10" s="25"/>
      <c r="F10" s="25"/>
      <c r="G10" s="25"/>
      <c r="H10" s="122"/>
      <c r="J10" s="25"/>
      <c r="K10" s="122">
        <v>7</v>
      </c>
      <c r="L10" s="37">
        <f t="shared" si="0"/>
        <v>11.955423119036265</v>
      </c>
      <c r="M10" s="146">
        <f t="shared" si="1"/>
        <v>7.235967933189048E-3</v>
      </c>
      <c r="N10" s="146">
        <f t="shared" si="2"/>
        <v>1.4397399327127948E-3</v>
      </c>
      <c r="O10" s="146">
        <f t="shared" si="8"/>
        <v>1.0078179528989564E-2</v>
      </c>
      <c r="P10" s="122">
        <v>57</v>
      </c>
      <c r="Q10" s="37">
        <f t="shared" si="4"/>
        <v>59.324641708841625</v>
      </c>
      <c r="R10" s="146">
        <f t="shared" si="5"/>
        <v>0.21384068798753691</v>
      </c>
      <c r="S10" s="146">
        <f t="shared" si="6"/>
        <v>7.3249359518055834E-3</v>
      </c>
      <c r="T10" s="146">
        <f t="shared" si="7"/>
        <v>0.41752134925291828</v>
      </c>
    </row>
    <row r="11" spans="1:20" ht="13.5" thickBot="1" x14ac:dyDescent="0.25">
      <c r="A11" s="25"/>
      <c r="B11" s="52" t="s">
        <v>44</v>
      </c>
      <c r="C11" s="140">
        <f>2*_xlfn.NORM.S.DIST(H7/SQRT(2),1) - 1</f>
        <v>0.50701450107249579</v>
      </c>
      <c r="D11" s="25" t="str">
        <f ca="1">_xlfn.FORMULATEXT(C11)</f>
        <v>=2*NORM.S.DIST(H7/SQRT(2),1) - 1</v>
      </c>
      <c r="E11" s="25"/>
      <c r="F11" s="25"/>
      <c r="G11" s="25"/>
      <c r="H11" s="25">
        <f>(C11+1)/2</f>
        <v>0.7535072505362479</v>
      </c>
      <c r="I11" s="25"/>
      <c r="J11" s="25"/>
      <c r="K11" s="122">
        <v>8</v>
      </c>
      <c r="L11" s="37">
        <f t="shared" si="0"/>
        <v>12.803906576268187</v>
      </c>
      <c r="M11" s="146">
        <f t="shared" si="1"/>
        <v>8.7837200930013827E-3</v>
      </c>
      <c r="N11" s="146">
        <f t="shared" si="2"/>
        <v>1.5477521598123347E-3</v>
      </c>
      <c r="O11" s="146">
        <f t="shared" si="8"/>
        <v>1.2382017278498678E-2</v>
      </c>
      <c r="P11" s="122">
        <v>58</v>
      </c>
      <c r="Q11" s="37">
        <f t="shared" si="4"/>
        <v>60.810760280236522</v>
      </c>
      <c r="R11" s="146">
        <f t="shared" si="5"/>
        <v>0.22134869288106718</v>
      </c>
      <c r="S11" s="146">
        <f t="shared" si="6"/>
        <v>7.5080048935302623E-3</v>
      </c>
      <c r="T11" s="146">
        <f t="shared" si="7"/>
        <v>0.43546428382475522</v>
      </c>
    </row>
    <row r="12" spans="1:20" x14ac:dyDescent="0.2">
      <c r="A12" s="63"/>
      <c r="B12" s="64"/>
      <c r="C12" s="65"/>
      <c r="D12" s="66"/>
      <c r="E12" s="64"/>
      <c r="F12" s="64"/>
      <c r="G12" s="64"/>
      <c r="H12" s="64"/>
      <c r="I12" s="64"/>
      <c r="J12" s="64"/>
      <c r="K12" s="122">
        <v>9</v>
      </c>
      <c r="L12" s="37">
        <f t="shared" si="0"/>
        <v>13.627744514274051</v>
      </c>
      <c r="M12" s="146">
        <f t="shared" si="1"/>
        <v>1.0435920740138304E-2</v>
      </c>
      <c r="N12" s="146">
        <f t="shared" si="2"/>
        <v>1.6522006471369217E-3</v>
      </c>
      <c r="O12" s="146">
        <f t="shared" si="8"/>
        <v>1.4869805824232295E-2</v>
      </c>
      <c r="P12" s="122">
        <v>59</v>
      </c>
      <c r="Q12" s="37">
        <f t="shared" si="4"/>
        <v>62.342096082837195</v>
      </c>
      <c r="R12" s="146">
        <f t="shared" si="5"/>
        <v>0.22904526183425891</v>
      </c>
      <c r="S12" s="146">
        <f t="shared" si="6"/>
        <v>7.6965689531917347E-3</v>
      </c>
      <c r="T12" s="146">
        <f t="shared" si="7"/>
        <v>0.45409756823831238</v>
      </c>
    </row>
    <row r="13" spans="1:20" x14ac:dyDescent="0.2">
      <c r="A13" s="54" t="s">
        <v>106</v>
      </c>
      <c r="B13" s="25"/>
      <c r="C13" s="67"/>
      <c r="D13" s="33"/>
      <c r="E13" s="25"/>
      <c r="F13" s="25"/>
      <c r="G13" s="25"/>
      <c r="H13" s="25"/>
      <c r="I13" s="25"/>
      <c r="J13" s="25"/>
      <c r="K13" s="122">
        <v>10</v>
      </c>
      <c r="L13" s="37">
        <f t="shared" si="0"/>
        <v>14.432864543148714</v>
      </c>
      <c r="M13" s="146">
        <f t="shared" si="1"/>
        <v>1.2189878293624848E-2</v>
      </c>
      <c r="N13" s="146">
        <f t="shared" si="2"/>
        <v>1.7539575534865435E-3</v>
      </c>
      <c r="O13" s="146">
        <f t="shared" si="8"/>
        <v>1.7539575534865435E-2</v>
      </c>
      <c r="P13" s="122">
        <v>60</v>
      </c>
      <c r="Q13" s="37">
        <f t="shared" si="4"/>
        <v>63.921328404291408</v>
      </c>
      <c r="R13" s="146">
        <f t="shared" si="5"/>
        <v>0.23693621228519759</v>
      </c>
      <c r="S13" s="146">
        <f t="shared" si="6"/>
        <v>7.890950450938683E-3</v>
      </c>
      <c r="T13" s="146">
        <f t="shared" si="7"/>
        <v>0.47345702705632098</v>
      </c>
    </row>
    <row r="14" spans="1:20" x14ac:dyDescent="0.2">
      <c r="A14" s="54"/>
      <c r="B14" s="30" t="s">
        <v>65</v>
      </c>
      <c r="C14" s="67"/>
      <c r="D14" s="33"/>
      <c r="E14" s="25"/>
      <c r="F14" s="25"/>
      <c r="G14" s="25"/>
      <c r="H14" s="25"/>
      <c r="I14" s="25"/>
      <c r="J14" s="25"/>
      <c r="K14" s="122">
        <v>11</v>
      </c>
      <c r="L14" s="37">
        <f t="shared" si="0"/>
        <v>15.223728281311116</v>
      </c>
      <c r="M14" s="146">
        <f t="shared" si="1"/>
        <v>1.4043544210956511E-2</v>
      </c>
      <c r="N14" s="146">
        <f t="shared" si="2"/>
        <v>1.8536659173316629E-3</v>
      </c>
      <c r="O14" s="146">
        <f t="shared" si="8"/>
        <v>2.0390325090648292E-2</v>
      </c>
      <c r="P14" s="122">
        <v>61</v>
      </c>
      <c r="Q14" s="37">
        <f t="shared" si="4"/>
        <v>65.551356387931932</v>
      </c>
      <c r="R14" s="146">
        <f t="shared" si="5"/>
        <v>0.24502771008203983</v>
      </c>
      <c r="S14" s="146">
        <f t="shared" si="6"/>
        <v>8.0914977968422341E-3</v>
      </c>
      <c r="T14" s="146">
        <f t="shared" si="7"/>
        <v>0.49358136560737631</v>
      </c>
    </row>
    <row r="15" spans="1:20" x14ac:dyDescent="0.2">
      <c r="A15" s="54"/>
      <c r="B15" s="30" t="s">
        <v>45</v>
      </c>
      <c r="C15" s="67"/>
      <c r="D15" s="33"/>
      <c r="E15" s="25"/>
      <c r="F15" s="25"/>
      <c r="G15" s="25"/>
      <c r="H15" s="25"/>
      <c r="I15" s="25"/>
      <c r="J15" s="25"/>
      <c r="K15" s="122">
        <v>12</v>
      </c>
      <c r="L15" s="37">
        <f t="shared" si="0"/>
        <v>16.003807236340531</v>
      </c>
      <c r="M15" s="146">
        <f t="shared" si="1"/>
        <v>1.5995361945714659E-2</v>
      </c>
      <c r="N15" s="146">
        <f t="shared" si="2"/>
        <v>1.9518177347581482E-3</v>
      </c>
      <c r="O15" s="146">
        <f t="shared" si="8"/>
        <v>2.3421812817097779E-2</v>
      </c>
      <c r="P15" s="122">
        <v>62</v>
      </c>
      <c r="Q15" s="37">
        <f t="shared" si="4"/>
        <v>67.235323825383134</v>
      </c>
      <c r="R15" s="146">
        <f t="shared" si="5"/>
        <v>0.25332629848103622</v>
      </c>
      <c r="S15" s="146">
        <f t="shared" si="6"/>
        <v>8.2985883989963871E-3</v>
      </c>
      <c r="T15" s="146">
        <f t="shared" si="7"/>
        <v>0.514512480737776</v>
      </c>
    </row>
    <row r="16" spans="1:20" ht="13.5" thickBot="1" x14ac:dyDescent="0.25">
      <c r="A16" s="93"/>
      <c r="B16" s="25"/>
      <c r="C16" s="25"/>
      <c r="D16" s="91" t="s">
        <v>88</v>
      </c>
      <c r="E16" s="25"/>
      <c r="F16" s="25"/>
      <c r="G16" s="28" t="s">
        <v>46</v>
      </c>
      <c r="H16" s="25"/>
      <c r="I16" s="25"/>
      <c r="J16" s="25"/>
      <c r="K16" s="122">
        <v>13</v>
      </c>
      <c r="L16" s="37">
        <f t="shared" si="0"/>
        <v>16.775878842072004</v>
      </c>
      <c r="M16" s="146">
        <f t="shared" si="1"/>
        <v>1.8044163066901184E-2</v>
      </c>
      <c r="N16" s="146">
        <f t="shared" si="2"/>
        <v>2.0488011211865255E-3</v>
      </c>
      <c r="O16" s="146">
        <f t="shared" si="8"/>
        <v>2.6634414575424831E-2</v>
      </c>
      <c r="P16" s="122">
        <v>63</v>
      </c>
      <c r="Q16" s="37">
        <f t="shared" si="4"/>
        <v>68.976647430324874</v>
      </c>
      <c r="R16" s="146">
        <f t="shared" si="5"/>
        <v>0.26183893045549028</v>
      </c>
      <c r="S16" s="146">
        <f t="shared" si="6"/>
        <v>8.5126319744540657E-3</v>
      </c>
      <c r="T16" s="146">
        <f t="shared" si="7"/>
        <v>0.53629581439060614</v>
      </c>
    </row>
    <row r="17" spans="1:20" ht="13.5" thickBot="1" x14ac:dyDescent="0.25">
      <c r="A17" s="147"/>
      <c r="B17" s="24" t="s">
        <v>93</v>
      </c>
      <c r="C17" s="73">
        <f>EXP(H17)</f>
        <v>127.99999999999986</v>
      </c>
      <c r="D17" s="33" t="str">
        <f ca="1">_xlfn.FORMULATEXT(C17)</f>
        <v>=EXP(H17)</v>
      </c>
      <c r="E17" s="25"/>
      <c r="F17" s="25"/>
      <c r="G17" s="142" t="s">
        <v>107</v>
      </c>
      <c r="H17" s="74">
        <f>H4+H6</f>
        <v>4.852030263919616</v>
      </c>
      <c r="I17" s="75" t="str">
        <f ca="1">_xlfn.FORMULATEXT(H17)</f>
        <v>=H4+H6</v>
      </c>
      <c r="J17" s="25"/>
      <c r="K17" s="122">
        <v>14</v>
      </c>
      <c r="L17" s="37">
        <f t="shared" si="0"/>
        <v>17.542219177406714</v>
      </c>
      <c r="M17" s="146">
        <f t="shared" si="1"/>
        <v>2.0189093362420724E-2</v>
      </c>
      <c r="N17" s="146">
        <f t="shared" si="2"/>
        <v>2.1449302955195391E-3</v>
      </c>
      <c r="O17" s="146">
        <f t="shared" si="8"/>
        <v>3.0029024137273548E-2</v>
      </c>
      <c r="P17" s="122">
        <v>64</v>
      </c>
      <c r="Q17" s="37">
        <f t="shared" si="4"/>
        <v>70.779049195416292</v>
      </c>
      <c r="R17" s="146">
        <f t="shared" si="5"/>
        <v>0.27057300478727503</v>
      </c>
      <c r="S17" s="146">
        <f t="shared" si="6"/>
        <v>8.7340743317847469E-3</v>
      </c>
      <c r="T17" s="146">
        <f t="shared" si="7"/>
        <v>0.5589807572342238</v>
      </c>
    </row>
    <row r="18" spans="1:20" ht="15.75" thickBot="1" x14ac:dyDescent="0.3">
      <c r="A18" s="147"/>
      <c r="B18" s="24" t="s">
        <v>94</v>
      </c>
      <c r="C18" s="77">
        <f>EXP(H18)</f>
        <v>204.79999999999961</v>
      </c>
      <c r="D18" s="31" t="s">
        <v>36</v>
      </c>
      <c r="E18" s="25"/>
      <c r="F18" s="25"/>
      <c r="G18" s="143" t="s">
        <v>37</v>
      </c>
      <c r="H18" s="39">
        <f>H17+H19/2</f>
        <v>5.3220338931653508</v>
      </c>
      <c r="I18" s="33" t="str">
        <f ca="1">_xlfn.FORMULATEXT(H18)</f>
        <v>=H17+H19/2</v>
      </c>
      <c r="J18" s="25"/>
      <c r="K18" s="122">
        <v>15</v>
      </c>
      <c r="L18" s="37">
        <f t="shared" si="0"/>
        <v>18.304733225629992</v>
      </c>
      <c r="M18" s="146">
        <f t="shared" si="1"/>
        <v>2.242955881768877E-2</v>
      </c>
      <c r="N18" s="146">
        <f t="shared" si="2"/>
        <v>2.240465455268046E-3</v>
      </c>
      <c r="O18" s="146">
        <f t="shared" si="8"/>
        <v>3.3606981829020693E-2</v>
      </c>
      <c r="P18" s="122">
        <v>65</v>
      </c>
      <c r="Q18" s="37">
        <f t="shared" si="4"/>
        <v>72.646593557889162</v>
      </c>
      <c r="R18" s="146">
        <f t="shared" si="5"/>
        <v>0.27953640649521116</v>
      </c>
      <c r="S18" s="146">
        <f t="shared" si="6"/>
        <v>8.9634017079361361E-3</v>
      </c>
      <c r="T18" s="146">
        <f t="shared" si="7"/>
        <v>0.58262111101584879</v>
      </c>
    </row>
    <row r="19" spans="1:20" ht="13.5" thickBot="1" x14ac:dyDescent="0.25">
      <c r="A19" s="147"/>
      <c r="B19" s="25"/>
      <c r="C19" s="25"/>
      <c r="D19" s="25"/>
      <c r="E19" s="25"/>
      <c r="F19" s="25"/>
      <c r="G19" s="143" t="s">
        <v>38</v>
      </c>
      <c r="H19" s="39">
        <f>H20^2</f>
        <v>0.94000725849147038</v>
      </c>
      <c r="I19" s="33" t="str">
        <f ca="1">_xlfn.FORMULATEXT(H19)</f>
        <v>=H20^2</v>
      </c>
      <c r="J19" s="25"/>
      <c r="K19" s="122">
        <v>16</v>
      </c>
      <c r="L19" s="37">
        <f t="shared" si="0"/>
        <v>19.065045750209386</v>
      </c>
      <c r="M19" s="146">
        <f t="shared" si="1"/>
        <v>2.4765185234597073E-2</v>
      </c>
      <c r="N19" s="146">
        <f t="shared" si="2"/>
        <v>2.3356264169083034E-3</v>
      </c>
      <c r="O19" s="146">
        <f t="shared" si="8"/>
        <v>3.7370022670532854E-2</v>
      </c>
      <c r="P19" s="122">
        <v>66</v>
      </c>
      <c r="Q19" s="37">
        <f t="shared" si="4"/>
        <v>74.583730252552471</v>
      </c>
      <c r="R19" s="146">
        <f t="shared" si="5"/>
        <v>0.28873755225454273</v>
      </c>
      <c r="S19" s="146">
        <f t="shared" si="6"/>
        <v>9.2011457593315638E-3</v>
      </c>
      <c r="T19" s="146">
        <f t="shared" si="7"/>
        <v>0.60727562011588321</v>
      </c>
    </row>
    <row r="20" spans="1:20" ht="13.5" thickBot="1" x14ac:dyDescent="0.25">
      <c r="A20" s="54"/>
      <c r="B20" s="24" t="s">
        <v>91</v>
      </c>
      <c r="C20" s="49">
        <f>EXP(H17-H19)</f>
        <v>49.999999999999972</v>
      </c>
      <c r="D20" s="33" t="str">
        <f ca="1">_xlfn.FORMULATEXT(C20)</f>
        <v>=EXP(H17-H19)</v>
      </c>
      <c r="E20" s="25"/>
      <c r="F20" s="50"/>
      <c r="G20" s="144" t="s">
        <v>40</v>
      </c>
      <c r="H20" s="79">
        <f>H7</f>
        <v>0.9695397147571988</v>
      </c>
      <c r="I20" s="75" t="str">
        <f ca="1">_xlfn.FORMULATEXT(H20)</f>
        <v>=H7</v>
      </c>
      <c r="J20" s="25"/>
      <c r="K20" s="122">
        <v>17</v>
      </c>
      <c r="L20" s="37">
        <f t="shared" si="0"/>
        <v>19.82456644270907</v>
      </c>
      <c r="M20" s="146">
        <f t="shared" si="1"/>
        <v>2.7195787492588833E-2</v>
      </c>
      <c r="N20" s="146">
        <f t="shared" si="2"/>
        <v>2.4306022579917604E-3</v>
      </c>
      <c r="O20" s="146">
        <f t="shared" si="8"/>
        <v>4.1320238385859923E-2</v>
      </c>
      <c r="P20" s="122">
        <v>67</v>
      </c>
      <c r="Q20" s="37">
        <f t="shared" si="4"/>
        <v>76.595343922145418</v>
      </c>
      <c r="R20" s="146">
        <f t="shared" si="5"/>
        <v>0.29818544158308224</v>
      </c>
      <c r="S20" s="146">
        <f t="shared" si="6"/>
        <v>9.447889328539516E-3</v>
      </c>
      <c r="T20" s="146">
        <f t="shared" si="7"/>
        <v>0.63300858501214763</v>
      </c>
    </row>
    <row r="21" spans="1:20" x14ac:dyDescent="0.2">
      <c r="A21" s="54"/>
      <c r="B21" s="52" t="s">
        <v>90</v>
      </c>
      <c r="C21" s="53">
        <f>_xlfn.LOGNORM.DIST(C20,H$17,H$20,0)</f>
        <v>5.1434494421579704E-3</v>
      </c>
      <c r="D21" s="33" t="str">
        <f ca="1">_xlfn.FORMULATEXT(C21)</f>
        <v>=LOGNORM.DIST(C20,H$17,H$20,0)</v>
      </c>
      <c r="E21" s="25"/>
      <c r="F21" s="54"/>
      <c r="G21" s="55"/>
      <c r="H21" s="58"/>
      <c r="I21" s="31"/>
      <c r="J21" s="25"/>
      <c r="K21" s="122">
        <v>18</v>
      </c>
      <c r="L21" s="37">
        <f t="shared" si="0"/>
        <v>20.584537749262967</v>
      </c>
      <c r="M21" s="146">
        <f t="shared" si="1"/>
        <v>2.9721345801971298E-2</v>
      </c>
      <c r="N21" s="146">
        <f t="shared" si="2"/>
        <v>2.5255583093824648E-3</v>
      </c>
      <c r="O21" s="146">
        <f t="shared" si="8"/>
        <v>4.5460049568884366E-2</v>
      </c>
      <c r="P21" s="122">
        <v>68</v>
      </c>
      <c r="Q21" s="37">
        <f t="shared" si="4"/>
        <v>78.686811795001162</v>
      </c>
      <c r="R21" s="146">
        <f t="shared" si="5"/>
        <v>0.30788971471776777</v>
      </c>
      <c r="S21" s="146">
        <f t="shared" si="6"/>
        <v>9.704273134685526E-3</v>
      </c>
      <c r="T21" s="146">
        <f t="shared" si="7"/>
        <v>0.65989057315861577</v>
      </c>
    </row>
    <row r="22" spans="1:20" x14ac:dyDescent="0.2">
      <c r="A22" s="54"/>
      <c r="B22" s="52" t="s">
        <v>95</v>
      </c>
      <c r="C22" s="57">
        <f>$C$18*SQRT((($C$18/$C$17)^2)-1)</f>
        <v>255.79511801439759</v>
      </c>
      <c r="D22" s="33" t="str">
        <f ca="1">_xlfn.FORMULATEXT(C22)</f>
        <v>=$C$18*SQRT((($C$18/$C$17)^2)-1)</v>
      </c>
      <c r="E22" s="25"/>
      <c r="F22" s="25"/>
      <c r="G22" s="25"/>
      <c r="H22" s="25"/>
      <c r="I22" s="30" t="s">
        <v>47</v>
      </c>
      <c r="J22" s="25"/>
      <c r="K22" s="122">
        <v>19</v>
      </c>
      <c r="L22" s="37">
        <f t="shared" si="0"/>
        <v>21.346070728935565</v>
      </c>
      <c r="M22" s="146">
        <f t="shared" si="1"/>
        <v>3.2341987143053183E-2</v>
      </c>
      <c r="N22" s="146">
        <f t="shared" si="2"/>
        <v>2.6206413410818849E-3</v>
      </c>
      <c r="O22" s="146">
        <f t="shared" si="8"/>
        <v>4.9792185480555813E-2</v>
      </c>
      <c r="P22" s="122">
        <v>69</v>
      </c>
      <c r="Q22" s="37">
        <f t="shared" si="4"/>
        <v>80.864071043249609</v>
      </c>
      <c r="R22" s="146">
        <f t="shared" si="5"/>
        <v>0.31786071828732698</v>
      </c>
      <c r="S22" s="146">
        <f t="shared" si="6"/>
        <v>9.9710035695592114E-3</v>
      </c>
      <c r="T22" s="146">
        <f t="shared" si="7"/>
        <v>0.68799924629958564</v>
      </c>
    </row>
    <row r="23" spans="1:20" x14ac:dyDescent="0.2">
      <c r="A23" s="54"/>
      <c r="B23" s="24" t="s">
        <v>133</v>
      </c>
      <c r="C23" s="82">
        <f>1-_xlfn.NORM.DIST(LN(C5),H17,H20,1)</f>
        <v>0.68608019666054221</v>
      </c>
      <c r="D23" s="33" t="str">
        <f ca="1">_xlfn.FORMULATEXT(C23)</f>
        <v>=1-NORM.DIST(LN(C5),H17,H20,1)</v>
      </c>
      <c r="E23" s="25"/>
      <c r="F23" s="25"/>
      <c r="G23" s="25"/>
      <c r="H23" s="25"/>
      <c r="I23" s="30"/>
      <c r="J23" s="25"/>
      <c r="K23" s="122">
        <v>20</v>
      </c>
      <c r="L23" s="37">
        <f t="shared" si="0"/>
        <v>22.110172454845447</v>
      </c>
      <c r="M23" s="146">
        <f t="shared" si="1"/>
        <v>3.5057970629403967E-2</v>
      </c>
      <c r="N23" s="146">
        <f t="shared" si="2"/>
        <v>2.7159834863507842E-3</v>
      </c>
      <c r="O23" s="146">
        <f t="shared" si="8"/>
        <v>5.4319669727015685E-2</v>
      </c>
      <c r="P23" s="122">
        <v>70</v>
      </c>
      <c r="Q23" s="37">
        <f t="shared" si="4"/>
        <v>83.133697820577225</v>
      </c>
      <c r="R23" s="146">
        <f t="shared" si="5"/>
        <v>0.32810958011153157</v>
      </c>
      <c r="S23" s="146">
        <f t="shared" si="6"/>
        <v>1.0248861824204591E-2</v>
      </c>
      <c r="T23" s="146">
        <f t="shared" si="7"/>
        <v>0.7174203276943214</v>
      </c>
    </row>
    <row r="24" spans="1:20" x14ac:dyDescent="0.2">
      <c r="A24" s="63"/>
      <c r="B24" s="64"/>
      <c r="C24" s="65"/>
      <c r="D24" s="66"/>
      <c r="E24" s="64"/>
      <c r="F24" s="64"/>
      <c r="G24" s="64"/>
      <c r="H24" s="64"/>
      <c r="I24" s="64"/>
      <c r="J24" s="64"/>
      <c r="K24" s="122">
        <v>21</v>
      </c>
      <c r="L24" s="37">
        <f t="shared" si="0"/>
        <v>22.877767320860681</v>
      </c>
      <c r="M24" s="146">
        <f t="shared" si="1"/>
        <v>3.7869675895171685E-2</v>
      </c>
      <c r="N24" s="146">
        <f t="shared" si="2"/>
        <v>2.811705265767718E-3</v>
      </c>
      <c r="O24" s="146">
        <f t="shared" si="8"/>
        <v>5.9045810581122078E-2</v>
      </c>
      <c r="P24" s="122">
        <v>71</v>
      </c>
      <c r="Q24" s="37">
        <f t="shared" si="4"/>
        <v>85.503000472890761</v>
      </c>
      <c r="R24" s="146">
        <f t="shared" si="5"/>
        <v>0.33864829473699115</v>
      </c>
      <c r="S24" s="146">
        <f t="shared" si="6"/>
        <v>1.0538714625459578E-2</v>
      </c>
      <c r="T24" s="146">
        <f t="shared" si="7"/>
        <v>0.74824873840762995</v>
      </c>
    </row>
    <row r="25" spans="1:20" x14ac:dyDescent="0.2">
      <c r="K25" s="122">
        <v>22</v>
      </c>
      <c r="L25" s="37">
        <f t="shared" si="0"/>
        <v>23.649713880915154</v>
      </c>
      <c r="M25" s="146">
        <f t="shared" si="1"/>
        <v>4.077759385246818E-2</v>
      </c>
      <c r="N25" s="146">
        <f t="shared" si="2"/>
        <v>2.907917957296495E-3</v>
      </c>
      <c r="O25" s="146">
        <f t="shared" si="8"/>
        <v>6.397419506052289E-2</v>
      </c>
      <c r="P25" s="122">
        <v>72</v>
      </c>
      <c r="Q25" s="37">
        <f t="shared" si="4"/>
        <v>87.980130053536513</v>
      </c>
      <c r="R25" s="146">
        <f t="shared" si="5"/>
        <v>0.34948982166929254</v>
      </c>
      <c r="S25" s="146">
        <f t="shared" si="6"/>
        <v>1.0841526932301393E-2</v>
      </c>
      <c r="T25" s="146">
        <f t="shared" si="7"/>
        <v>0.78058993912570029</v>
      </c>
    </row>
    <row r="26" spans="1:20" x14ac:dyDescent="0.2">
      <c r="K26" s="122">
        <v>23</v>
      </c>
      <c r="L26" s="37">
        <f t="shared" si="0"/>
        <v>24.426818364605381</v>
      </c>
      <c r="M26" s="146">
        <f t="shared" si="1"/>
        <v>4.378231933595346E-2</v>
      </c>
      <c r="N26" s="146">
        <f t="shared" si="2"/>
        <v>3.0047254834852793E-3</v>
      </c>
      <c r="O26" s="146">
        <f t="shared" si="8"/>
        <v>6.9108686120161425E-2</v>
      </c>
      <c r="P26" s="122">
        <v>73</v>
      </c>
      <c r="Q26" s="37">
        <f t="shared" si="4"/>
        <v>90.574212105701491</v>
      </c>
      <c r="R26" s="146">
        <f t="shared" si="5"/>
        <v>0.36064819870235432</v>
      </c>
      <c r="S26" s="146">
        <f t="shared" si="6"/>
        <v>1.1158377033061773E-2</v>
      </c>
      <c r="T26" s="146">
        <f t="shared" si="7"/>
        <v>0.8145615234135094</v>
      </c>
    </row>
    <row r="27" spans="1:20" x14ac:dyDescent="0.2">
      <c r="K27" s="122">
        <v>24</v>
      </c>
      <c r="L27" s="37">
        <f t="shared" si="0"/>
        <v>25.209845688047015</v>
      </c>
      <c r="M27" s="146">
        <f t="shared" si="1"/>
        <v>4.6884545273106655E-2</v>
      </c>
      <c r="N27" s="146">
        <f t="shared" si="2"/>
        <v>3.1022259371531954E-3</v>
      </c>
      <c r="O27" s="146">
        <f t="shared" si="8"/>
        <v>7.4453422491676691E-2</v>
      </c>
      <c r="P27" s="122">
        <v>74</v>
      </c>
      <c r="Q27" s="37">
        <f t="shared" si="4"/>
        <v>93.295504765933742</v>
      </c>
      <c r="R27" s="146">
        <f t="shared" si="5"/>
        <v>0.37213867330625744</v>
      </c>
      <c r="S27" s="146">
        <f t="shared" si="6"/>
        <v>1.1490474603903122E-2</v>
      </c>
      <c r="T27" s="146">
        <f t="shared" si="7"/>
        <v>0.85029512068883106</v>
      </c>
    </row>
    <row r="28" spans="1:20" x14ac:dyDescent="0.2">
      <c r="H28" s="151" t="s">
        <v>126</v>
      </c>
      <c r="K28" s="122">
        <v>25</v>
      </c>
      <c r="L28" s="37">
        <f t="shared" si="0"/>
        <v>25.999528556541673</v>
      </c>
      <c r="M28" s="146">
        <f t="shared" si="1"/>
        <v>5.0085058106288501E-2</v>
      </c>
      <c r="N28" s="146">
        <f t="shared" si="2"/>
        <v>3.2005128331818455E-3</v>
      </c>
      <c r="O28" s="146">
        <f t="shared" si="8"/>
        <v>8.0012820829546139E-2</v>
      </c>
      <c r="P28" s="122">
        <v>75</v>
      </c>
      <c r="Q28" s="37">
        <f t="shared" si="4"/>
        <v>96.155589689374622</v>
      </c>
      <c r="R28" s="146">
        <f t="shared" si="5"/>
        <v>0.3839778557526673</v>
      </c>
      <c r="S28" s="146">
        <f t="shared" si="6"/>
        <v>1.1839182446409857E-2</v>
      </c>
      <c r="T28" s="146">
        <f t="shared" si="7"/>
        <v>0.88793868348073923</v>
      </c>
    </row>
    <row r="29" spans="1:20" x14ac:dyDescent="0.2">
      <c r="A29" s="151" t="s">
        <v>103</v>
      </c>
      <c r="B29" s="152" t="s">
        <v>104</v>
      </c>
      <c r="C29" s="151" t="s">
        <v>105</v>
      </c>
      <c r="I29" s="1" t="s">
        <v>1</v>
      </c>
      <c r="J29" s="169">
        <f>C11</f>
        <v>0.50701450107249579</v>
      </c>
      <c r="K29" s="122">
        <v>26</v>
      </c>
      <c r="L29" s="37">
        <f t="shared" si="0"/>
        <v>26.796575100506434</v>
      </c>
      <c r="M29" s="146">
        <f t="shared" si="1"/>
        <v>5.3384734257011721E-2</v>
      </c>
      <c r="N29" s="146">
        <f t="shared" si="2"/>
        <v>3.29967615072322E-3</v>
      </c>
      <c r="O29" s="146">
        <f t="shared" si="8"/>
        <v>8.579157991880372E-2</v>
      </c>
      <c r="P29" s="122">
        <v>76</v>
      </c>
      <c r="Q29" s="37">
        <f t="shared" si="4"/>
        <v>99.167604234299205</v>
      </c>
      <c r="R29" s="146">
        <f t="shared" si="5"/>
        <v>0.39618389858460346</v>
      </c>
      <c r="S29" s="146">
        <f t="shared" si="6"/>
        <v>1.2206042831936159E-2</v>
      </c>
      <c r="T29" s="146">
        <f t="shared" si="7"/>
        <v>0.92765925522714809</v>
      </c>
    </row>
    <row r="30" spans="1:20" x14ac:dyDescent="0.2">
      <c r="A30" s="1" t="s">
        <v>78</v>
      </c>
      <c r="B30">
        <f>(ERF((LN(C5)-H4)/(H7*SQRT(2)))+1)/2</f>
        <v>0.68608019666054243</v>
      </c>
      <c r="C30" t="str">
        <f ca="1">_xlfn.FORMULATEXT(B30)</f>
        <v>=(ERF((LN(C5)-H4)/(H7*SQRT(2)))+1)/2</v>
      </c>
      <c r="H30" s="1" t="s">
        <v>130</v>
      </c>
      <c r="I30" s="1" t="s">
        <v>127</v>
      </c>
      <c r="J30" s="169">
        <f>H11</f>
        <v>0.7535072505362479</v>
      </c>
      <c r="K30" s="122">
        <v>27</v>
      </c>
      <c r="L30" s="37">
        <f t="shared" si="0"/>
        <v>27.601675376236905</v>
      </c>
      <c r="M30" s="146">
        <f t="shared" si="1"/>
        <v>5.6784537470759268E-2</v>
      </c>
      <c r="N30" s="146">
        <f t="shared" si="2"/>
        <v>3.3998032137475473E-3</v>
      </c>
      <c r="O30" s="146">
        <f t="shared" si="8"/>
        <v>9.179468677118377E-2</v>
      </c>
      <c r="P30" s="122">
        <v>77</v>
      </c>
      <c r="Q30" s="37">
        <f t="shared" si="4"/>
        <v>102.34652596518728</v>
      </c>
      <c r="R30" s="146">
        <f t="shared" si="5"/>
        <v>0.40877670824747292</v>
      </c>
      <c r="S30" s="146">
        <f t="shared" si="6"/>
        <v>1.2592809662869464E-2</v>
      </c>
      <c r="T30" s="146">
        <f t="shared" si="7"/>
        <v>0.96964634404094874</v>
      </c>
    </row>
    <row r="31" spans="1:20" x14ac:dyDescent="0.2">
      <c r="A31" s="1" t="s">
        <v>79</v>
      </c>
      <c r="B31">
        <f>_xlfn.NORM.S.DIST((LN(C5)-H4)/H7,1)</f>
        <v>0.68608019666054243</v>
      </c>
      <c r="C31" t="str">
        <f t="shared" ref="C31:C32" ca="1" si="9">_xlfn.FORMULATEXT(B31)</f>
        <v>=NORM.S.DIST((LN(C5)-H4)/H7,1)</v>
      </c>
      <c r="K31" s="122">
        <v>28</v>
      </c>
      <c r="L31" s="37">
        <f t="shared" si="0"/>
        <v>28.415506984119382</v>
      </c>
      <c r="M31" s="146">
        <f t="shared" si="1"/>
        <v>6.0285516916941208E-2</v>
      </c>
      <c r="N31" s="146">
        <f t="shared" si="2"/>
        <v>3.5009794461819399E-3</v>
      </c>
      <c r="O31" s="146">
        <f t="shared" si="8"/>
        <v>9.8027424493094317E-2</v>
      </c>
      <c r="P31" s="122">
        <v>78</v>
      </c>
      <c r="Q31" s="37">
        <f t="shared" si="4"/>
        <v>105.7095241231417</v>
      </c>
      <c r="R31" s="146">
        <f t="shared" si="5"/>
        <v>0.42177819629308377</v>
      </c>
      <c r="S31" s="146">
        <f t="shared" si="6"/>
        <v>1.3001488045610854E-2</v>
      </c>
      <c r="T31" s="146">
        <f t="shared" si="7"/>
        <v>1.0141160675576466</v>
      </c>
    </row>
    <row r="32" spans="1:20" ht="13.5" thickBot="1" x14ac:dyDescent="0.25">
      <c r="A32" s="1" t="s">
        <v>97</v>
      </c>
      <c r="B32">
        <f>B31/(1-B31)</f>
        <v>2.1855269701435458</v>
      </c>
      <c r="C32" t="str">
        <f t="shared" ca="1" si="9"/>
        <v>=B31/(1-B31)</v>
      </c>
      <c r="G32" s="1" t="s">
        <v>129</v>
      </c>
      <c r="K32" s="122">
        <v>29</v>
      </c>
      <c r="L32" s="37">
        <f t="shared" si="0"/>
        <v>29.23873999945345</v>
      </c>
      <c r="M32" s="146">
        <f t="shared" si="1"/>
        <v>6.3888805946377414E-2</v>
      </c>
      <c r="N32" s="146">
        <f t="shared" si="2"/>
        <v>3.603289029436206E-3</v>
      </c>
      <c r="O32" s="146">
        <f t="shared" si="8"/>
        <v>0.10449538185364998</v>
      </c>
      <c r="P32" s="122">
        <v>79</v>
      </c>
      <c r="Q32" s="37">
        <f t="shared" si="4"/>
        <v>109.27639768940294</v>
      </c>
      <c r="R32" s="146">
        <f t="shared" si="5"/>
        <v>0.43521257969327204</v>
      </c>
      <c r="S32" s="146">
        <f t="shared" si="6"/>
        <v>1.3434383400188266E-2</v>
      </c>
      <c r="T32" s="146">
        <f t="shared" si="7"/>
        <v>1.061316288614873</v>
      </c>
    </row>
    <row r="33" spans="1:20" x14ac:dyDescent="0.2">
      <c r="A33" s="1" t="s">
        <v>80</v>
      </c>
      <c r="B33">
        <f>ERF(H7/2)</f>
        <v>0.50701450107249568</v>
      </c>
      <c r="C33" t="str">
        <f t="shared" ref="C33:C39" ca="1" si="10">_xlfn.FORMULATEXT(B33)</f>
        <v>=ERF(H7/2)</v>
      </c>
      <c r="G33" s="159" t="s">
        <v>119</v>
      </c>
      <c r="H33" s="160" t="s">
        <v>117</v>
      </c>
      <c r="I33" s="160" t="s">
        <v>118</v>
      </c>
      <c r="J33" s="166" t="s">
        <v>128</v>
      </c>
      <c r="K33" s="122">
        <v>30</v>
      </c>
      <c r="L33" s="37">
        <f t="shared" si="0"/>
        <v>30.072041368779331</v>
      </c>
      <c r="M33" s="146">
        <f t="shared" si="1"/>
        <v>6.7595621430315667E-2</v>
      </c>
      <c r="N33" s="146">
        <f t="shared" si="2"/>
        <v>3.7068154839382528E-3</v>
      </c>
      <c r="O33" s="146">
        <f t="shared" si="8"/>
        <v>0.11120446451814758</v>
      </c>
      <c r="P33" s="122">
        <v>80</v>
      </c>
      <c r="Q33" s="37">
        <f t="shared" si="4"/>
        <v>113.070126662541</v>
      </c>
      <c r="R33" s="146">
        <f t="shared" si="5"/>
        <v>0.44910674266492873</v>
      </c>
      <c r="S33" s="146">
        <f t="shared" si="6"/>
        <v>1.3894162971656687E-2</v>
      </c>
      <c r="T33" s="146">
        <f t="shared" si="7"/>
        <v>1.111533037732535</v>
      </c>
    </row>
    <row r="34" spans="1:20" x14ac:dyDescent="0.2">
      <c r="A34" s="1" t="s">
        <v>81</v>
      </c>
      <c r="B34">
        <f>2*_xlfn.NORM.S.DIST(H7/SQRT(2),1) - 1</f>
        <v>0.50701450107249579</v>
      </c>
      <c r="C34" t="str">
        <f t="shared" ca="1" si="10"/>
        <v>=2*NORM.S.DIST(H7/SQRT(2),1) - 1</v>
      </c>
      <c r="G34" s="161">
        <v>10</v>
      </c>
      <c r="H34" s="162">
        <v>79.716999999999999</v>
      </c>
      <c r="I34" s="162">
        <f>H34-5</f>
        <v>74.716999999999999</v>
      </c>
      <c r="J34" s="167"/>
      <c r="K34" s="122">
        <v>31</v>
      </c>
      <c r="L34" s="37">
        <f t="shared" si="0"/>
        <v>30.916078893219336</v>
      </c>
      <c r="M34" s="146">
        <f t="shared" si="1"/>
        <v>7.1407263622048314E-2</v>
      </c>
      <c r="N34" s="146">
        <f t="shared" si="2"/>
        <v>3.8116421917326476E-3</v>
      </c>
      <c r="O34" s="146">
        <f t="shared" si="8"/>
        <v>0.11816090794371208</v>
      </c>
      <c r="P34" s="122">
        <v>81</v>
      </c>
      <c r="Q34" s="37">
        <f t="shared" si="4"/>
        <v>117.11757314713365</v>
      </c>
      <c r="R34" s="146">
        <f t="shared" si="5"/>
        <v>0.46349067632174412</v>
      </c>
      <c r="S34" s="146">
        <f t="shared" si="6"/>
        <v>1.4383933656815395E-2</v>
      </c>
      <c r="T34" s="146">
        <f t="shared" si="7"/>
        <v>1.1650986262020471</v>
      </c>
    </row>
    <row r="35" spans="1:20" x14ac:dyDescent="0.2">
      <c r="A35" s="1" t="s">
        <v>82</v>
      </c>
      <c r="B35">
        <f>2*_xlfn.NORM.S.DIST(SQRT(LN(C5/C4)),1)-1</f>
        <v>0.50701450107249579</v>
      </c>
      <c r="C35" t="str">
        <f t="shared" ca="1" si="10"/>
        <v>=2*NORM.S.DIST(SQRT(LN(C5/C4)),1)-1</v>
      </c>
      <c r="G35" s="161">
        <v>5</v>
      </c>
      <c r="H35" s="162">
        <v>77.652000000000001</v>
      </c>
      <c r="I35" s="162">
        <f>H35-2.5</f>
        <v>75.152000000000001</v>
      </c>
      <c r="J35" s="163">
        <f>I35-I34</f>
        <v>0.43500000000000227</v>
      </c>
      <c r="K35" s="122">
        <v>32</v>
      </c>
      <c r="L35" s="37">
        <f t="shared" si="0"/>
        <v>31.771524896867422</v>
      </c>
      <c r="M35" s="146">
        <f t="shared" si="1"/>
        <v>7.5325116495842323E-2</v>
      </c>
      <c r="N35" s="146">
        <f t="shared" si="2"/>
        <v>3.9178528737940088E-3</v>
      </c>
      <c r="O35" s="146">
        <f t="shared" si="8"/>
        <v>0.12537129196140828</v>
      </c>
      <c r="P35" s="122">
        <v>82</v>
      </c>
      <c r="Q35" s="37">
        <f t="shared" si="4"/>
        <v>121.45038331451023</v>
      </c>
      <c r="R35" s="146">
        <f t="shared" si="5"/>
        <v>0.47839801788961372</v>
      </c>
      <c r="S35" s="146">
        <f t="shared" si="6"/>
        <v>1.4907341567869603E-2</v>
      </c>
      <c r="T35" s="146">
        <f t="shared" si="7"/>
        <v>1.2224020085653073</v>
      </c>
    </row>
    <row r="36" spans="1:20" x14ac:dyDescent="0.2">
      <c r="A36" s="1" t="s">
        <v>83</v>
      </c>
      <c r="B36">
        <f>(B35+1)/2</f>
        <v>0.7535072505362479</v>
      </c>
      <c r="C36" t="str">
        <f t="shared" ca="1" si="10"/>
        <v>=(B35+1)/2</v>
      </c>
      <c r="G36" s="161">
        <v>2</v>
      </c>
      <c r="H36" s="162">
        <v>76.308999999999997</v>
      </c>
      <c r="I36" s="162">
        <f>H36-1</f>
        <v>75.308999999999997</v>
      </c>
      <c r="J36" s="163">
        <f t="shared" ref="J36:J38" si="11">I36-I35</f>
        <v>0.15699999999999648</v>
      </c>
      <c r="K36" s="122">
        <v>33</v>
      </c>
      <c r="L36" s="37">
        <f t="shared" ref="L36:L53" si="12">_xlfn.LOGNORM.INV(K36/100,H$4,H$7)</f>
        <v>32.639059660612006</v>
      </c>
      <c r="M36" s="146">
        <f t="shared" ref="M36:M53" si="13">_xlfn.LOGNORM.DIST(L36,H$17, H$20,1)</f>
        <v>7.9350648528996828E-2</v>
      </c>
      <c r="N36" s="146">
        <f t="shared" si="2"/>
        <v>4.0255320331545053E-3</v>
      </c>
      <c r="O36" s="146">
        <f t="shared" si="8"/>
        <v>0.13284255709409867</v>
      </c>
      <c r="P36" s="122">
        <v>83</v>
      </c>
      <c r="Q36" s="37">
        <f t="shared" si="4"/>
        <v>126.10616263537163</v>
      </c>
      <c r="R36" s="146">
        <f t="shared" si="5"/>
        <v>0.49386671885068528</v>
      </c>
      <c r="S36" s="146">
        <f t="shared" si="6"/>
        <v>1.5468700961071558E-2</v>
      </c>
      <c r="T36" s="146">
        <f t="shared" si="7"/>
        <v>1.2839021797689392</v>
      </c>
    </row>
    <row r="37" spans="1:20" x14ac:dyDescent="0.2">
      <c r="A37" s="1" t="s">
        <v>96</v>
      </c>
      <c r="B37">
        <f>_xlfn.NORM.S.DIST(SQRT(LN(C5/C4)),1)</f>
        <v>0.7535072505362479</v>
      </c>
      <c r="C37" t="str">
        <f t="shared" ca="1" si="10"/>
        <v>=NORM.S.DIST(SQRT(LN(C5/C4)),1)</v>
      </c>
      <c r="G37" s="161">
        <v>1</v>
      </c>
      <c r="H37" s="162">
        <v>75.837999999999994</v>
      </c>
      <c r="I37" s="162">
        <v>75.337999999999994</v>
      </c>
      <c r="J37" s="163">
        <f t="shared" si="11"/>
        <v>2.8999999999996362E-2</v>
      </c>
      <c r="K37" s="122">
        <v>34</v>
      </c>
      <c r="L37" s="37">
        <f t="shared" si="12"/>
        <v>33.519374688482294</v>
      </c>
      <c r="M37" s="146">
        <f t="shared" si="13"/>
        <v>8.3485413902019676E-2</v>
      </c>
      <c r="N37" s="146">
        <f t="shared" ref="N37:N53" si="14">M37-M36</f>
        <v>4.1347653730228473E-3</v>
      </c>
      <c r="O37" s="146">
        <f t="shared" si="8"/>
        <v>0.14058202268277681</v>
      </c>
      <c r="P37" s="122">
        <v>84</v>
      </c>
      <c r="Q37" s="37">
        <f t="shared" si="4"/>
        <v>131.13002888925891</v>
      </c>
      <c r="R37" s="146">
        <f t="shared" si="5"/>
        <v>0.50993988229804454</v>
      </c>
      <c r="S37" s="146">
        <f t="shared" si="6"/>
        <v>1.6073163447359262E-2</v>
      </c>
      <c r="T37" s="146">
        <f t="shared" si="7"/>
        <v>1.350145729578178</v>
      </c>
    </row>
    <row r="38" spans="1:20" ht="13.5" thickBot="1" x14ac:dyDescent="0.25">
      <c r="A38" s="1" t="s">
        <v>98</v>
      </c>
      <c r="B38">
        <f>0.256+0.435*(1.6-1)</f>
        <v>0.51700000000000002</v>
      </c>
      <c r="C38" t="str">
        <f t="shared" ca="1" si="10"/>
        <v>=0.256+0.435*(1.6-1)</v>
      </c>
      <c r="G38" s="164">
        <v>0.5</v>
      </c>
      <c r="H38" s="165">
        <v>75.596999999999994</v>
      </c>
      <c r="I38" s="165">
        <f>H38-0.25</f>
        <v>75.346999999999994</v>
      </c>
      <c r="J38" s="168">
        <f t="shared" si="11"/>
        <v>9.0000000000003411E-3</v>
      </c>
      <c r="K38" s="122">
        <v>35</v>
      </c>
      <c r="L38" s="37">
        <f t="shared" si="12"/>
        <v>34.413175863612224</v>
      </c>
      <c r="M38" s="146">
        <f t="shared" si="13"/>
        <v>8.7731054099647238E-2</v>
      </c>
      <c r="N38" s="146">
        <f t="shared" si="14"/>
        <v>4.2456401976275621E-3</v>
      </c>
      <c r="O38" s="146">
        <f t="shared" si="8"/>
        <v>0.14859740691696466</v>
      </c>
      <c r="P38" s="122">
        <v>85</v>
      </c>
      <c r="Q38" s="37">
        <f t="shared" si="4"/>
        <v>136.57669681301556</v>
      </c>
      <c r="R38" s="146">
        <f t="shared" si="5"/>
        <v>0.52666682570498957</v>
      </c>
      <c r="S38" s="146">
        <f t="shared" si="6"/>
        <v>1.6726943406945027E-2</v>
      </c>
      <c r="T38" s="146">
        <f t="shared" si="7"/>
        <v>1.4217901895903273</v>
      </c>
    </row>
    <row r="39" spans="1:20" x14ac:dyDescent="0.2">
      <c r="A39" s="1" t="s">
        <v>99</v>
      </c>
      <c r="B39">
        <f>1.37*(2*B31-1)</f>
        <v>0.50985973884988633</v>
      </c>
      <c r="C39" t="str">
        <f t="shared" ca="1" si="10"/>
        <v>=1.37*(2*B31-1)</v>
      </c>
      <c r="K39" s="122">
        <v>36</v>
      </c>
      <c r="L39" s="37">
        <f t="shared" si="12"/>
        <v>35.321186543459547</v>
      </c>
      <c r="M39" s="146">
        <f t="shared" si="13"/>
        <v>9.2089299902077551E-2</v>
      </c>
      <c r="N39" s="146">
        <f t="shared" si="14"/>
        <v>4.3582458024303133E-3</v>
      </c>
      <c r="O39" s="146">
        <f t="shared" si="8"/>
        <v>0.15689684888749128</v>
      </c>
      <c r="P39" s="122">
        <v>86</v>
      </c>
      <c r="Q39" s="37">
        <f t="shared" si="4"/>
        <v>142.51332597758469</v>
      </c>
      <c r="R39" s="146">
        <f t="shared" si="5"/>
        <v>0.54410444902718069</v>
      </c>
      <c r="S39" s="146">
        <f t="shared" si="6"/>
        <v>1.743762332219112E-2</v>
      </c>
      <c r="T39" s="146">
        <f t="shared" si="7"/>
        <v>1.4996356057084363</v>
      </c>
    </row>
    <row r="40" spans="1:20" x14ac:dyDescent="0.2">
      <c r="G40" s="1" t="s">
        <v>131</v>
      </c>
      <c r="K40" s="122">
        <v>37</v>
      </c>
      <c r="L40" s="37">
        <f t="shared" si="12"/>
        <v>36.244150638450705</v>
      </c>
      <c r="M40" s="146">
        <f t="shared" si="13"/>
        <v>9.6561973761632086E-2</v>
      </c>
      <c r="N40" s="146">
        <f t="shared" si="14"/>
        <v>4.4726738595545351E-3</v>
      </c>
      <c r="O40" s="146">
        <f t="shared" si="8"/>
        <v>0.16548893280351779</v>
      </c>
      <c r="P40" s="122">
        <v>87</v>
      </c>
      <c r="Q40" s="37">
        <f t="shared" si="4"/>
        <v>149.02348923326048</v>
      </c>
      <c r="R40" s="146">
        <f t="shared" si="5"/>
        <v>0.56231902421858071</v>
      </c>
      <c r="S40" s="146">
        <f t="shared" si="6"/>
        <v>1.8214575191400018E-2</v>
      </c>
      <c r="T40" s="146">
        <f t="shared" si="7"/>
        <v>1.5846680416518015</v>
      </c>
    </row>
    <row r="41" spans="1:20" x14ac:dyDescent="0.2">
      <c r="H41" s="1" t="s">
        <v>132</v>
      </c>
      <c r="K41" s="122">
        <v>38</v>
      </c>
      <c r="L41" s="37">
        <f t="shared" si="12"/>
        <v>37.18283571434489</v>
      </c>
      <c r="M41" s="146">
        <f t="shared" si="13"/>
        <v>0.1011509925653285</v>
      </c>
      <c r="N41" s="146">
        <f t="shared" si="14"/>
        <v>4.5890188036964152E-3</v>
      </c>
      <c r="O41" s="146">
        <f t="shared" si="8"/>
        <v>0.17438271454046378</v>
      </c>
      <c r="P41" s="122">
        <v>88</v>
      </c>
      <c r="Q41" s="37">
        <f t="shared" si="4"/>
        <v>156.21282880258283</v>
      </c>
      <c r="R41" s="146">
        <f t="shared" si="5"/>
        <v>0.58138857887171436</v>
      </c>
      <c r="S41" s="146">
        <f t="shared" si="6"/>
        <v>1.9069554653133647E-2</v>
      </c>
      <c r="T41" s="146">
        <f t="shared" si="7"/>
        <v>1.6781208094757609</v>
      </c>
    </row>
    <row r="42" spans="1:20" x14ac:dyDescent="0.2">
      <c r="A42" s="1" t="s">
        <v>100</v>
      </c>
      <c r="B42">
        <f>0.435/0.168</f>
        <v>2.589285714285714</v>
      </c>
      <c r="C42" t="str">
        <f ca="1">_xlfn.FORMULATEXT(B42)</f>
        <v>=0.435/0.168</v>
      </c>
      <c r="K42" s="122">
        <v>39</v>
      </c>
      <c r="L42" s="37">
        <f t="shared" si="12"/>
        <v>38.138036156033714</v>
      </c>
      <c r="M42" s="146">
        <f t="shared" si="13"/>
        <v>0.10585837078870323</v>
      </c>
      <c r="N42" s="146">
        <f t="shared" si="14"/>
        <v>4.7073782233747336E-3</v>
      </c>
      <c r="O42" s="146">
        <f t="shared" si="8"/>
        <v>0.18358775071161459</v>
      </c>
      <c r="P42" s="122">
        <v>89</v>
      </c>
      <c r="Q42" s="37">
        <f t="shared" si="4"/>
        <v>164.21732927728596</v>
      </c>
      <c r="R42" s="146">
        <f t="shared" si="5"/>
        <v>0.60140613809701815</v>
      </c>
      <c r="S42" s="146">
        <f t="shared" si="6"/>
        <v>2.0017559225303794E-2</v>
      </c>
      <c r="T42" s="146">
        <f t="shared" si="7"/>
        <v>1.7815627710520376</v>
      </c>
    </row>
    <row r="43" spans="1:20" x14ac:dyDescent="0.2">
      <c r="B43">
        <f>0.435*0.59/0.168</f>
        <v>1.5276785714285712</v>
      </c>
      <c r="C43" t="str">
        <f t="shared" ref="C43:C48" ca="1" si="15">_xlfn.FORMULATEXT(B43)</f>
        <v>=0.435*0.59/0.168</v>
      </c>
      <c r="K43" s="122">
        <v>40</v>
      </c>
      <c r="L43" s="37">
        <f t="shared" si="12"/>
        <v>39.110576429011779</v>
      </c>
      <c r="M43" s="146">
        <f t="shared" si="13"/>
        <v>0.11068622405084169</v>
      </c>
      <c r="N43" s="146">
        <f t="shared" si="14"/>
        <v>4.8278532621384568E-3</v>
      </c>
      <c r="O43" s="146">
        <f t="shared" si="8"/>
        <v>0.19311413048553827</v>
      </c>
      <c r="P43" s="122">
        <v>90</v>
      </c>
      <c r="Q43" s="37">
        <f t="shared" si="4"/>
        <v>173.21578765781123</v>
      </c>
      <c r="R43" s="146">
        <f t="shared" si="5"/>
        <v>0.62248424150468229</v>
      </c>
      <c r="S43" s="146">
        <f t="shared" si="6"/>
        <v>2.1078103407664139E-2</v>
      </c>
      <c r="T43" s="146">
        <f t="shared" si="7"/>
        <v>1.8970293066897725</v>
      </c>
    </row>
    <row r="44" spans="1:20" x14ac:dyDescent="0.2">
      <c r="B44">
        <f>B43-0.256</f>
        <v>1.2716785714285712</v>
      </c>
      <c r="C44" t="str">
        <f t="shared" ca="1" si="15"/>
        <v>=B43-0.256</v>
      </c>
      <c r="K44" s="122">
        <v>41</v>
      </c>
      <c r="L44" s="37">
        <f t="shared" si="12"/>
        <v>40.101314474221702</v>
      </c>
      <c r="M44" s="146">
        <f t="shared" si="13"/>
        <v>0.11563677308505591</v>
      </c>
      <c r="N44" s="146">
        <f t="shared" si="14"/>
        <v>4.9505490342142133E-3</v>
      </c>
      <c r="O44" s="146">
        <f t="shared" si="8"/>
        <v>0.20297251040278275</v>
      </c>
      <c r="P44" s="122">
        <v>91</v>
      </c>
      <c r="Q44" s="37">
        <f t="shared" si="4"/>
        <v>183.44928593146386</v>
      </c>
      <c r="R44" s="146">
        <f t="shared" si="5"/>
        <v>0.6447614179333796</v>
      </c>
      <c r="S44" s="146">
        <f t="shared" si="6"/>
        <v>2.227717642869731E-2</v>
      </c>
      <c r="T44" s="146">
        <f t="shared" si="7"/>
        <v>2.0272230550114552</v>
      </c>
    </row>
    <row r="45" spans="1:20" x14ac:dyDescent="0.2">
      <c r="B45">
        <f>B42*B30-B44</f>
        <v>0.50477908063890453</v>
      </c>
      <c r="C45" t="str">
        <f t="shared" ca="1" si="15"/>
        <v>=B42*B30-B44</v>
      </c>
      <c r="K45" s="122">
        <v>42</v>
      </c>
      <c r="L45" s="37">
        <f t="shared" si="12"/>
        <v>41.111145272303048</v>
      </c>
      <c r="M45" s="146">
        <f t="shared" si="13"/>
        <v>0.12071234814412604</v>
      </c>
      <c r="N45" s="146">
        <f t="shared" si="14"/>
        <v>5.0755750590701365E-3</v>
      </c>
      <c r="O45" s="146">
        <f t="shared" si="8"/>
        <v>0.21317415248094573</v>
      </c>
      <c r="P45" s="122">
        <v>92</v>
      </c>
      <c r="Q45" s="37">
        <f t="shared" si="4"/>
        <v>195.25290856414858</v>
      </c>
      <c r="R45" s="146">
        <f t="shared" si="5"/>
        <v>0.66841178554541913</v>
      </c>
      <c r="S45" s="146">
        <f t="shared" si="6"/>
        <v>2.3650367612039536E-2</v>
      </c>
      <c r="T45" s="146">
        <f t="shared" si="7"/>
        <v>2.1758338203076373</v>
      </c>
    </row>
    <row r="46" spans="1:20" x14ac:dyDescent="0.2">
      <c r="K46" s="122">
        <v>43</v>
      </c>
      <c r="L46" s="37">
        <f t="shared" si="12"/>
        <v>42.141004614401318</v>
      </c>
      <c r="M46" s="146">
        <f t="shared" si="13"/>
        <v>0.12591539386358677</v>
      </c>
      <c r="N46" s="146">
        <f t="shared" si="14"/>
        <v>5.2030457194607305E-3</v>
      </c>
      <c r="O46" s="146">
        <f t="shared" si="8"/>
        <v>0.22373096593681141</v>
      </c>
      <c r="P46" s="122">
        <v>93</v>
      </c>
      <c r="Q46" s="37">
        <f t="shared" si="4"/>
        <v>209.11012308877017</v>
      </c>
      <c r="R46" s="146">
        <f t="shared" si="5"/>
        <v>0.69365988167337622</v>
      </c>
      <c r="S46" s="146">
        <f t="shared" si="6"/>
        <v>2.5248096127957087E-2</v>
      </c>
      <c r="T46" s="146">
        <f t="shared" si="7"/>
        <v>2.3480729399000091</v>
      </c>
    </row>
    <row r="47" spans="1:20" x14ac:dyDescent="0.2">
      <c r="A47" s="1" t="s">
        <v>101</v>
      </c>
      <c r="B47">
        <f>80^2/50</f>
        <v>128</v>
      </c>
      <c r="C47" t="str">
        <f t="shared" ca="1" si="15"/>
        <v>=80^2/50</v>
      </c>
      <c r="K47" s="122">
        <v>44</v>
      </c>
      <c r="L47" s="37">
        <f t="shared" si="12"/>
        <v>43.191873118602523</v>
      </c>
      <c r="M47" s="146">
        <f t="shared" si="13"/>
        <v>0.1312484746112984</v>
      </c>
      <c r="N47" s="146">
        <f t="shared" si="14"/>
        <v>5.3330807477116327E-3</v>
      </c>
      <c r="O47" s="146">
        <f t="shared" si="8"/>
        <v>0.23465555289931184</v>
      </c>
      <c r="P47" s="122">
        <v>94</v>
      </c>
      <c r="Q47" s="37">
        <f t="shared" si="4"/>
        <v>225.75215830414299</v>
      </c>
      <c r="R47" s="146">
        <f t="shared" si="5"/>
        <v>0.72080476648524328</v>
      </c>
      <c r="S47" s="146">
        <f t="shared" si="6"/>
        <v>2.7144884811867054E-2</v>
      </c>
      <c r="T47" s="146">
        <f t="shared" si="7"/>
        <v>2.5516191723155028</v>
      </c>
    </row>
    <row r="48" spans="1:20" x14ac:dyDescent="0.2">
      <c r="A48" s="1" t="s">
        <v>102</v>
      </c>
      <c r="B48">
        <f>_xlfn.NORM.S.DIST((LN(B47)-H4)/H7,1)</f>
        <v>0.83386201251720748</v>
      </c>
      <c r="C48" t="str">
        <f t="shared" ca="1" si="15"/>
        <v>=NORM.S.DIST((LN(B47)-H4)/H7,1)</v>
      </c>
      <c r="K48" s="122">
        <v>45</v>
      </c>
      <c r="L48" s="37">
        <f t="shared" si="12"/>
        <v>44.264780533755996</v>
      </c>
      <c r="M48" s="146">
        <f t="shared" si="13"/>
        <v>0.13671428035658018</v>
      </c>
      <c r="N48" s="146">
        <f t="shared" si="14"/>
        <v>5.465805745281771E-3</v>
      </c>
      <c r="O48" s="146">
        <f t="shared" si="8"/>
        <v>0.24596125853767969</v>
      </c>
      <c r="P48" s="122">
        <v>95</v>
      </c>
      <c r="Q48" s="37">
        <f t="shared" si="4"/>
        <v>246.35508292548428</v>
      </c>
      <c r="R48" s="146">
        <f t="shared" si="5"/>
        <v>0.75026182656550433</v>
      </c>
      <c r="S48" s="146">
        <f t="shared" si="6"/>
        <v>2.9457060080261055E-2</v>
      </c>
      <c r="T48" s="146">
        <f t="shared" si="7"/>
        <v>2.7984207076248002</v>
      </c>
    </row>
    <row r="49" spans="1:20" x14ac:dyDescent="0.2">
      <c r="K49" s="122">
        <v>46</v>
      </c>
      <c r="L49" s="37">
        <f t="shared" si="12"/>
        <v>45.36081037597463</v>
      </c>
      <c r="M49" s="146">
        <f t="shared" si="13"/>
        <v>0.14231563309762313</v>
      </c>
      <c r="N49" s="146">
        <f t="shared" si="14"/>
        <v>5.6013527410429531E-3</v>
      </c>
      <c r="O49" s="146">
        <f t="shared" si="8"/>
        <v>0.25766222608797584</v>
      </c>
      <c r="P49" s="122">
        <v>96</v>
      </c>
      <c r="Q49" s="37">
        <f t="shared" si="4"/>
        <v>272.97567252367037</v>
      </c>
      <c r="R49" s="146">
        <f t="shared" si="5"/>
        <v>0.78264179003292444</v>
      </c>
      <c r="S49" s="146">
        <f t="shared" si="6"/>
        <v>3.2379963467420114E-2</v>
      </c>
      <c r="T49" s="146">
        <f t="shared" si="7"/>
        <v>3.108476492872331</v>
      </c>
    </row>
    <row r="50" spans="1:20" x14ac:dyDescent="0.2">
      <c r="K50" s="122">
        <v>47</v>
      </c>
      <c r="L50" s="37">
        <f t="shared" si="12"/>
        <v>46.481104947518354</v>
      </c>
      <c r="M50" s="146">
        <f t="shared" si="13"/>
        <v>0.14805549389181893</v>
      </c>
      <c r="N50" s="146">
        <f t="shared" si="14"/>
        <v>5.7398607941958057E-3</v>
      </c>
      <c r="O50" s="146">
        <f t="shared" si="8"/>
        <v>0.26977345732720287</v>
      </c>
      <c r="P50" s="122">
        <v>97</v>
      </c>
      <c r="Q50" s="37">
        <f t="shared" si="4"/>
        <v>309.67615922470287</v>
      </c>
      <c r="R50" s="146">
        <f t="shared" si="5"/>
        <v>0.81891919315211914</v>
      </c>
      <c r="S50" s="146">
        <f t="shared" si="6"/>
        <v>3.6277403119194696E-2</v>
      </c>
      <c r="T50" s="146">
        <f t="shared" si="7"/>
        <v>3.5189081025618854</v>
      </c>
    </row>
    <row r="51" spans="1:20" x14ac:dyDescent="0.2">
      <c r="K51" s="122">
        <v>48</v>
      </c>
      <c r="L51" s="37">
        <f t="shared" si="12"/>
        <v>47.626870793169402</v>
      </c>
      <c r="M51" s="146">
        <f t="shared" si="13"/>
        <v>0.15393697054018707</v>
      </c>
      <c r="N51" s="146">
        <f t="shared" si="14"/>
        <v>5.8814766483681336E-3</v>
      </c>
      <c r="O51" s="146">
        <f t="shared" si="8"/>
        <v>0.28231087912167041</v>
      </c>
      <c r="P51" s="122">
        <v>98</v>
      </c>
      <c r="Q51" s="37">
        <f t="shared" si="4"/>
        <v>366.2126363828234</v>
      </c>
      <c r="R51" s="146">
        <f t="shared" si="5"/>
        <v>0.86086397236014089</v>
      </c>
      <c r="S51" s="146">
        <f t="shared" si="6"/>
        <v>4.1944779208021754E-2</v>
      </c>
      <c r="T51" s="146">
        <f t="shared" si="7"/>
        <v>4.1105883623861317</v>
      </c>
    </row>
    <row r="52" spans="1:20" x14ac:dyDescent="0.2">
      <c r="K52" s="122">
        <v>49</v>
      </c>
      <c r="L52" s="37">
        <f t="shared" si="12"/>
        <v>48.799384655722641</v>
      </c>
      <c r="M52" s="146">
        <f t="shared" si="13"/>
        <v>0.15996332598436391</v>
      </c>
      <c r="N52" s="146">
        <f t="shared" si="14"/>
        <v>6.0263554441768452E-3</v>
      </c>
      <c r="O52" s="146">
        <f t="shared" si="8"/>
        <v>0.29529141676466542</v>
      </c>
      <c r="P52" s="122">
        <v>99</v>
      </c>
      <c r="Q52" s="37">
        <f t="shared" si="4"/>
        <v>476.99674151126095</v>
      </c>
      <c r="R52" s="146">
        <f t="shared" si="5"/>
        <v>0.91257891285760584</v>
      </c>
      <c r="S52" s="146">
        <f t="shared" si="6"/>
        <v>5.1714940497464945E-2</v>
      </c>
      <c r="T52" s="146">
        <f t="shared" si="7"/>
        <v>5.1197791092490297</v>
      </c>
    </row>
    <row r="53" spans="1:20" x14ac:dyDescent="0.2">
      <c r="K53" s="122">
        <v>50</v>
      </c>
      <c r="L53" s="37">
        <f t="shared" si="12"/>
        <v>49.999999999999993</v>
      </c>
      <c r="M53" s="146">
        <f t="shared" si="13"/>
        <v>0.16613798748279268</v>
      </c>
      <c r="N53" s="146">
        <f t="shared" si="14"/>
        <v>6.1746614984287684E-3</v>
      </c>
      <c r="O53" s="146">
        <f t="shared" si="8"/>
        <v>0.30873307492143842</v>
      </c>
      <c r="P53" s="122">
        <v>100</v>
      </c>
      <c r="Q53" s="37"/>
      <c r="R53" s="146">
        <v>1</v>
      </c>
      <c r="S53" s="146">
        <f>R53-R52</f>
        <v>8.742108714239416E-2</v>
      </c>
      <c r="T53" s="146">
        <f t="shared" ref="T53" si="16">P53*S53</f>
        <v>8.742108714239416</v>
      </c>
    </row>
    <row r="54" spans="1:20" x14ac:dyDescent="0.2">
      <c r="K54" s="122"/>
      <c r="L54" s="37"/>
      <c r="M54" s="146" t="s">
        <v>112</v>
      </c>
      <c r="N54" s="146"/>
      <c r="O54" s="37">
        <f>SUM(O4:O53)</f>
        <v>5.3515345844509286</v>
      </c>
      <c r="P54" s="91" t="s">
        <v>116</v>
      </c>
      <c r="Q54" s="158">
        <f>O54+T54</f>
        <v>75.838032781602465</v>
      </c>
      <c r="R54" s="154"/>
      <c r="S54" s="25"/>
      <c r="T54" s="37">
        <f>SUM(T4:T53)</f>
        <v>70.486498197151533</v>
      </c>
    </row>
    <row r="55" spans="1:20" x14ac:dyDescent="0.2">
      <c r="A55" s="25" t="s">
        <v>114</v>
      </c>
      <c r="K55" s="25" t="s">
        <v>114</v>
      </c>
    </row>
    <row r="56" spans="1:20" x14ac:dyDescent="0.2">
      <c r="A56" s="151" t="s">
        <v>120</v>
      </c>
      <c r="F56" s="151" t="s">
        <v>122</v>
      </c>
      <c r="K56" s="151" t="s">
        <v>123</v>
      </c>
    </row>
    <row r="57" spans="1:20" x14ac:dyDescent="0.2">
      <c r="A57" s="122" t="s">
        <v>109</v>
      </c>
      <c r="B57" s="122" t="s">
        <v>115</v>
      </c>
      <c r="C57" s="122" t="s">
        <v>110</v>
      </c>
      <c r="D57" s="122" t="s">
        <v>111</v>
      </c>
      <c r="E57" s="122" t="s">
        <v>113</v>
      </c>
      <c r="F57" s="122" t="s">
        <v>109</v>
      </c>
      <c r="G57" s="122" t="s">
        <v>115</v>
      </c>
      <c r="H57" s="122" t="s">
        <v>110</v>
      </c>
      <c r="I57" s="122" t="s">
        <v>111</v>
      </c>
      <c r="J57" s="122" t="s">
        <v>113</v>
      </c>
      <c r="K57" s="122" t="s">
        <v>109</v>
      </c>
      <c r="L57" s="122" t="s">
        <v>115</v>
      </c>
      <c r="M57" s="122" t="s">
        <v>110</v>
      </c>
      <c r="N57" s="122" t="s">
        <v>111</v>
      </c>
      <c r="O57" s="122" t="s">
        <v>113</v>
      </c>
      <c r="P57" s="122" t="s">
        <v>109</v>
      </c>
      <c r="Q57" s="122" t="s">
        <v>115</v>
      </c>
      <c r="R57" s="122" t="s">
        <v>110</v>
      </c>
      <c r="S57" s="122" t="s">
        <v>111</v>
      </c>
      <c r="T57" s="122" t="s">
        <v>113</v>
      </c>
    </row>
    <row r="58" spans="1:20" x14ac:dyDescent="0.2">
      <c r="A58" s="122">
        <v>10</v>
      </c>
      <c r="B58" s="37">
        <f t="shared" ref="B58:B66" si="17">_xlfn.LOGNORM.INV(A58/100,H$4,H$7)</f>
        <v>14.432864543148714</v>
      </c>
      <c r="C58" s="146">
        <f t="shared" ref="C58:C66" si="18">_xlfn.LOGNORM.DIST(B58,H$17, H$20, 1)</f>
        <v>1.2189878293624848E-2</v>
      </c>
      <c r="D58" s="146">
        <f>C58</f>
        <v>1.2189878293624848E-2</v>
      </c>
      <c r="E58" s="146">
        <f>A58*D58</f>
        <v>0.12189878293624848</v>
      </c>
      <c r="F58" s="122">
        <v>2</v>
      </c>
      <c r="G58" s="37">
        <f t="shared" ref="G58:G89" si="19">_xlfn.LOGNORM.INV(F58/100,H$4,H$7)</f>
        <v>6.8266349973423726</v>
      </c>
      <c r="H58" s="146">
        <f t="shared" ref="H58:H89" si="20">_xlfn.LOGNORM.DIST(G58,H$17, H$20,1)</f>
        <v>1.2502181936104861E-3</v>
      </c>
      <c r="I58" s="146">
        <f>H58</f>
        <v>1.2502181936104861E-3</v>
      </c>
      <c r="J58" s="146">
        <f>F58*I58</f>
        <v>2.5004363872209723E-3</v>
      </c>
      <c r="K58" s="155">
        <v>0.5</v>
      </c>
      <c r="L58" s="37">
        <f t="shared" ref="L58:L89" si="21">_xlfn.LOGNORM.INV(K58/100,H$4,H$7)</f>
        <v>4.1150632195313399</v>
      </c>
      <c r="M58" s="146">
        <f t="shared" ref="M58:M89" si="22">_xlfn.LOGNORM.DIST(L58,H$17, H$20,1)</f>
        <v>1.9603189336993973E-4</v>
      </c>
      <c r="N58" s="146">
        <f>M58</f>
        <v>1.9603189336993973E-4</v>
      </c>
      <c r="O58" s="146">
        <f t="shared" ref="O58:O59" si="23">K58*N58</f>
        <v>9.8015946684969866E-5</v>
      </c>
      <c r="P58" s="156">
        <v>25.5</v>
      </c>
      <c r="Q58" s="37">
        <f t="shared" ref="Q58:Q89" si="24">_xlfn.LOGNORM.INV(P58/100,H$4,H$7)</f>
        <v>26.397087886578863</v>
      </c>
      <c r="R58" s="146">
        <f t="shared" ref="R58:R89" si="25">_xlfn.LOGNORM.DIST(Q58,H$17, H$20,1)</f>
        <v>5.172244255383128E-2</v>
      </c>
      <c r="S58" s="146">
        <f>R58-M107</f>
        <v>1.6373844475427793E-3</v>
      </c>
      <c r="T58" s="146">
        <f>P58*S58</f>
        <v>4.1753303412340875E-2</v>
      </c>
    </row>
    <row r="59" spans="1:20" x14ac:dyDescent="0.2">
      <c r="A59" s="122">
        <v>20</v>
      </c>
      <c r="B59" s="37">
        <f t="shared" si="17"/>
        <v>22.110172454845447</v>
      </c>
      <c r="C59" s="146">
        <f t="shared" si="18"/>
        <v>3.5057970629403967E-2</v>
      </c>
      <c r="D59" s="146">
        <f>C59-C58</f>
        <v>2.2868092335779119E-2</v>
      </c>
      <c r="E59" s="146">
        <f t="shared" ref="E59:E60" si="26">A59*D59</f>
        <v>0.45736184671558239</v>
      </c>
      <c r="F59" s="122">
        <v>4</v>
      </c>
      <c r="G59" s="37">
        <f t="shared" si="19"/>
        <v>9.1583252708470511</v>
      </c>
      <c r="H59" s="146">
        <f t="shared" si="20"/>
        <v>3.261867731732618E-3</v>
      </c>
      <c r="I59" s="146">
        <f>H59-H58</f>
        <v>2.0116495381221318E-3</v>
      </c>
      <c r="J59" s="146">
        <f>F59*I59</f>
        <v>8.0465981524885273E-3</v>
      </c>
      <c r="K59" s="155">
        <v>1</v>
      </c>
      <c r="L59" s="37">
        <f t="shared" si="21"/>
        <v>5.2411259499997671</v>
      </c>
      <c r="M59" s="146">
        <f t="shared" si="22"/>
        <v>4.9055631992604373E-4</v>
      </c>
      <c r="N59" s="146">
        <f t="shared" ref="N59:N107" si="27">M59-M58</f>
        <v>2.9452442655610402E-4</v>
      </c>
      <c r="O59" s="146">
        <f t="shared" si="23"/>
        <v>2.9452442655610402E-4</v>
      </c>
      <c r="P59" s="156">
        <v>26</v>
      </c>
      <c r="Q59" s="37">
        <f t="shared" si="24"/>
        <v>26.796575100506434</v>
      </c>
      <c r="R59" s="146">
        <f t="shared" si="25"/>
        <v>5.3384734257011721E-2</v>
      </c>
      <c r="S59" s="146">
        <f>R59-R58</f>
        <v>1.6622917031804407E-3</v>
      </c>
      <c r="T59" s="146">
        <f>P59*S59</f>
        <v>4.3219584282691459E-2</v>
      </c>
    </row>
    <row r="60" spans="1:20" x14ac:dyDescent="0.2">
      <c r="A60" s="122">
        <v>30</v>
      </c>
      <c r="B60" s="37">
        <f t="shared" si="17"/>
        <v>30.072041368779331</v>
      </c>
      <c r="C60" s="146">
        <f t="shared" si="18"/>
        <v>6.7595621430315667E-2</v>
      </c>
      <c r="D60" s="146">
        <f>C60-C59</f>
        <v>3.2537650800911699E-2</v>
      </c>
      <c r="E60" s="146">
        <f t="shared" si="26"/>
        <v>0.97612952402735098</v>
      </c>
      <c r="F60" s="15">
        <v>6</v>
      </c>
      <c r="G60" s="37">
        <f t="shared" si="19"/>
        <v>11.07409124581609</v>
      </c>
      <c r="H60" s="146">
        <f t="shared" si="20"/>
        <v>5.7962280004762532E-3</v>
      </c>
      <c r="I60" s="146">
        <f>H60-H59</f>
        <v>2.5343602687436352E-3</v>
      </c>
      <c r="J60" s="146">
        <f>F60*I60</f>
        <v>1.5206161612461811E-2</v>
      </c>
      <c r="K60" s="156">
        <v>1.5</v>
      </c>
      <c r="L60" s="37">
        <f t="shared" si="21"/>
        <v>6.0984473119094469</v>
      </c>
      <c r="M60" s="146">
        <f t="shared" si="22"/>
        <v>8.4580643456953948E-4</v>
      </c>
      <c r="N60" s="146">
        <f t="shared" si="27"/>
        <v>3.5525011464349575E-4</v>
      </c>
      <c r="O60" s="146">
        <f t="shared" ref="O60" si="28">K60*N60</f>
        <v>5.3287517196524362E-4</v>
      </c>
      <c r="P60" s="156">
        <v>26.5</v>
      </c>
      <c r="Q60" s="37">
        <f t="shared" si="24"/>
        <v>27.198075940669138</v>
      </c>
      <c r="R60" s="146">
        <f t="shared" si="25"/>
        <v>5.5072056392477142E-2</v>
      </c>
      <c r="S60" s="146">
        <f t="shared" ref="S60:S107" si="29">R60-R59</f>
        <v>1.6873221354654216E-3</v>
      </c>
      <c r="T60" s="146">
        <f t="shared" ref="T60:T62" si="30">P60*S60</f>
        <v>4.4714036589833674E-2</v>
      </c>
    </row>
    <row r="61" spans="1:20" x14ac:dyDescent="0.2">
      <c r="A61" s="122">
        <v>40</v>
      </c>
      <c r="B61" s="37">
        <f t="shared" si="17"/>
        <v>39.110576429011779</v>
      </c>
      <c r="C61" s="146">
        <f t="shared" si="18"/>
        <v>0.11068622405084169</v>
      </c>
      <c r="D61" s="146">
        <f t="shared" ref="D61:D67" si="31">C61-C60</f>
        <v>4.3090602620526025E-2</v>
      </c>
      <c r="E61" s="146">
        <f t="shared" ref="E61:E67" si="32">A61*D61</f>
        <v>1.723624104821041</v>
      </c>
      <c r="F61" s="122">
        <v>8</v>
      </c>
      <c r="G61" s="37">
        <f t="shared" si="19"/>
        <v>12.803906576268187</v>
      </c>
      <c r="H61" s="146">
        <f t="shared" si="20"/>
        <v>8.7837200930013827E-3</v>
      </c>
      <c r="I61" s="146">
        <f t="shared" ref="I61:I107" si="33">H61-H60</f>
        <v>2.9874920925251295E-3</v>
      </c>
      <c r="J61" s="146">
        <f t="shared" ref="J61:J107" si="34">F61*I61</f>
        <v>2.3899936740201036E-2</v>
      </c>
      <c r="K61" s="156">
        <v>2</v>
      </c>
      <c r="L61" s="37">
        <f t="shared" si="21"/>
        <v>6.8266349973423726</v>
      </c>
      <c r="M61" s="146">
        <f t="shared" si="22"/>
        <v>1.2502181936104861E-3</v>
      </c>
      <c r="N61" s="146">
        <f t="shared" si="27"/>
        <v>4.0441175904094666E-4</v>
      </c>
      <c r="O61" s="146">
        <f t="shared" ref="O61:O63" si="35">K61*N61</f>
        <v>8.0882351808189332E-4</v>
      </c>
      <c r="P61" s="156">
        <v>27</v>
      </c>
      <c r="Q61" s="37">
        <f t="shared" si="24"/>
        <v>27.601675376236905</v>
      </c>
      <c r="R61" s="146">
        <f t="shared" si="25"/>
        <v>5.6784537470759268E-2</v>
      </c>
      <c r="S61" s="146">
        <f t="shared" si="29"/>
        <v>1.7124810782821256E-3</v>
      </c>
      <c r="T61" s="146">
        <f t="shared" si="30"/>
        <v>4.6236989113617392E-2</v>
      </c>
    </row>
    <row r="62" spans="1:20" x14ac:dyDescent="0.2">
      <c r="A62" s="122">
        <v>50</v>
      </c>
      <c r="B62" s="37">
        <f t="shared" si="17"/>
        <v>49.999999999999993</v>
      </c>
      <c r="C62" s="146">
        <f t="shared" si="18"/>
        <v>0.16613798748279268</v>
      </c>
      <c r="D62" s="146">
        <f t="shared" si="31"/>
        <v>5.545176343195099E-2</v>
      </c>
      <c r="E62" s="146">
        <f t="shared" si="32"/>
        <v>2.7725881715975493</v>
      </c>
      <c r="F62" s="15">
        <v>10</v>
      </c>
      <c r="G62" s="37">
        <f t="shared" si="19"/>
        <v>14.432864543148714</v>
      </c>
      <c r="H62" s="146">
        <f t="shared" si="20"/>
        <v>1.2189878293624848E-2</v>
      </c>
      <c r="I62" s="146">
        <f t="shared" si="33"/>
        <v>3.4061582006234652E-3</v>
      </c>
      <c r="J62" s="146">
        <f t="shared" si="34"/>
        <v>3.4061582006234652E-2</v>
      </c>
      <c r="K62" s="155">
        <v>2.5</v>
      </c>
      <c r="L62" s="37">
        <f t="shared" si="21"/>
        <v>7.4764649717901346</v>
      </c>
      <c r="M62" s="146">
        <f t="shared" si="22"/>
        <v>1.6975188595317748E-3</v>
      </c>
      <c r="N62" s="146">
        <f t="shared" si="27"/>
        <v>4.4730066592128868E-4</v>
      </c>
      <c r="O62" s="146">
        <f t="shared" si="35"/>
        <v>1.1182516648032218E-3</v>
      </c>
      <c r="P62" s="156">
        <v>27.5</v>
      </c>
      <c r="Q62" s="37">
        <f t="shared" si="24"/>
        <v>28.007457761387638</v>
      </c>
      <c r="R62" s="146">
        <f t="shared" si="25"/>
        <v>5.8522311292946161E-2</v>
      </c>
      <c r="S62" s="146">
        <f t="shared" si="29"/>
        <v>1.737773822186893E-3</v>
      </c>
      <c r="T62" s="146">
        <f t="shared" si="30"/>
        <v>4.7788780110139553E-2</v>
      </c>
    </row>
    <row r="63" spans="1:20" x14ac:dyDescent="0.2">
      <c r="A63" s="122">
        <v>60</v>
      </c>
      <c r="B63" s="37">
        <f t="shared" si="17"/>
        <v>63.921328404291408</v>
      </c>
      <c r="C63" s="146">
        <f t="shared" si="18"/>
        <v>0.23693621228519759</v>
      </c>
      <c r="D63" s="146">
        <f t="shared" si="31"/>
        <v>7.0798224802404913E-2</v>
      </c>
      <c r="E63" s="146">
        <f t="shared" si="32"/>
        <v>4.2478934881442951</v>
      </c>
      <c r="F63" s="122">
        <v>12</v>
      </c>
      <c r="G63" s="37">
        <f t="shared" si="19"/>
        <v>16.003807236340531</v>
      </c>
      <c r="H63" s="146">
        <f t="shared" si="20"/>
        <v>1.5995361945714659E-2</v>
      </c>
      <c r="I63" s="146">
        <f t="shared" si="33"/>
        <v>3.8054836520898111E-3</v>
      </c>
      <c r="J63" s="146">
        <f t="shared" si="34"/>
        <v>4.5665803825077733E-2</v>
      </c>
      <c r="K63" s="155">
        <v>3</v>
      </c>
      <c r="L63" s="37">
        <f t="shared" si="21"/>
        <v>8.0729495168725069</v>
      </c>
      <c r="M63" s="146">
        <f t="shared" si="22"/>
        <v>2.1836716921487353E-3</v>
      </c>
      <c r="N63" s="146">
        <f t="shared" si="27"/>
        <v>4.8615283261696052E-4</v>
      </c>
      <c r="O63" s="146">
        <f t="shared" si="35"/>
        <v>1.4584584978508815E-3</v>
      </c>
      <c r="P63" s="156">
        <v>28</v>
      </c>
      <c r="Q63" s="37">
        <f t="shared" si="24"/>
        <v>28.415506984119382</v>
      </c>
      <c r="R63" s="146">
        <f t="shared" si="25"/>
        <v>6.0285516916941208E-2</v>
      </c>
      <c r="S63" s="146">
        <f t="shared" si="29"/>
        <v>1.7632056239950469E-3</v>
      </c>
      <c r="T63" s="146">
        <f t="shared" ref="T63:T107" si="36">P63*S63</f>
        <v>4.9369757471861314E-2</v>
      </c>
    </row>
    <row r="64" spans="1:20" x14ac:dyDescent="0.2">
      <c r="A64" s="122">
        <v>70</v>
      </c>
      <c r="B64" s="37">
        <f t="shared" si="17"/>
        <v>83.133697820577225</v>
      </c>
      <c r="C64" s="146">
        <f t="shared" si="18"/>
        <v>0.32810958011153157</v>
      </c>
      <c r="D64" s="146">
        <f t="shared" si="31"/>
        <v>9.1173367826333979E-2</v>
      </c>
      <c r="E64" s="146">
        <f t="shared" si="32"/>
        <v>6.3821357478433782</v>
      </c>
      <c r="F64" s="15">
        <v>14</v>
      </c>
      <c r="G64" s="37">
        <f t="shared" si="19"/>
        <v>17.542219177406714</v>
      </c>
      <c r="H64" s="146">
        <f t="shared" si="20"/>
        <v>2.0189093362420724E-2</v>
      </c>
      <c r="I64" s="146">
        <f t="shared" si="33"/>
        <v>4.1937314167060646E-3</v>
      </c>
      <c r="J64" s="146">
        <f t="shared" si="34"/>
        <v>5.8712239833884905E-2</v>
      </c>
      <c r="K64" s="156">
        <v>3.5</v>
      </c>
      <c r="L64" s="37">
        <f t="shared" si="21"/>
        <v>8.6305104218835389</v>
      </c>
      <c r="M64" s="146">
        <f t="shared" si="22"/>
        <v>2.7058300730898595E-3</v>
      </c>
      <c r="N64" s="146">
        <f t="shared" si="27"/>
        <v>5.2215838094112413E-4</v>
      </c>
      <c r="O64" s="146">
        <f t="shared" ref="O64:O107" si="37">K64*N64</f>
        <v>1.8275543332939344E-3</v>
      </c>
      <c r="P64" s="156">
        <v>28.5</v>
      </c>
      <c r="Q64" s="37">
        <f t="shared" si="24"/>
        <v>28.825906606801325</v>
      </c>
      <c r="R64" s="146">
        <f t="shared" si="25"/>
        <v>6.2074298632759706E-2</v>
      </c>
      <c r="S64" s="146">
        <f t="shared" si="29"/>
        <v>1.7887817158184979E-3</v>
      </c>
      <c r="T64" s="146">
        <f t="shared" si="36"/>
        <v>5.0980278900827194E-2</v>
      </c>
    </row>
    <row r="65" spans="1:20" x14ac:dyDescent="0.2">
      <c r="A65" s="122">
        <v>80</v>
      </c>
      <c r="B65" s="37">
        <f t="shared" si="17"/>
        <v>113.070126662541</v>
      </c>
      <c r="C65" s="146">
        <f t="shared" si="18"/>
        <v>0.44910674266492873</v>
      </c>
      <c r="D65" s="146">
        <f t="shared" si="31"/>
        <v>0.12099716255339715</v>
      </c>
      <c r="E65" s="146">
        <f t="shared" si="32"/>
        <v>9.6797730042717731</v>
      </c>
      <c r="F65" s="122">
        <v>16</v>
      </c>
      <c r="G65" s="37">
        <f t="shared" si="19"/>
        <v>19.065045750209386</v>
      </c>
      <c r="H65" s="146">
        <f t="shared" si="20"/>
        <v>2.4765185234597073E-2</v>
      </c>
      <c r="I65" s="146">
        <f t="shared" si="33"/>
        <v>4.5760918721763494E-3</v>
      </c>
      <c r="J65" s="146">
        <f t="shared" si="34"/>
        <v>7.321746995482159E-2</v>
      </c>
      <c r="K65" s="156">
        <v>4</v>
      </c>
      <c r="L65" s="37">
        <f t="shared" si="21"/>
        <v>9.1583252708470511</v>
      </c>
      <c r="M65" s="146">
        <f t="shared" si="22"/>
        <v>3.261867731732618E-3</v>
      </c>
      <c r="N65" s="146">
        <f t="shared" si="27"/>
        <v>5.560376586427585E-4</v>
      </c>
      <c r="O65" s="146">
        <f t="shared" si="37"/>
        <v>2.224150634571034E-3</v>
      </c>
      <c r="P65" s="156">
        <v>29</v>
      </c>
      <c r="Q65" s="37">
        <f t="shared" si="24"/>
        <v>29.23873999945345</v>
      </c>
      <c r="R65" s="146">
        <f t="shared" si="25"/>
        <v>6.3888805946377414E-2</v>
      </c>
      <c r="S65" s="146">
        <f t="shared" si="29"/>
        <v>1.8145073136177081E-3</v>
      </c>
      <c r="T65" s="146">
        <f t="shared" si="36"/>
        <v>5.2620712094913535E-2</v>
      </c>
    </row>
    <row r="66" spans="1:20" x14ac:dyDescent="0.2">
      <c r="A66" s="122">
        <v>90</v>
      </c>
      <c r="B66" s="37">
        <f t="shared" si="17"/>
        <v>173.21578765781123</v>
      </c>
      <c r="C66" s="146">
        <f t="shared" si="18"/>
        <v>0.62248424150468229</v>
      </c>
      <c r="D66" s="146">
        <f t="shared" si="31"/>
        <v>0.17337749883975356</v>
      </c>
      <c r="E66" s="146">
        <f t="shared" si="32"/>
        <v>15.603974895577821</v>
      </c>
      <c r="F66" s="15">
        <v>18</v>
      </c>
      <c r="G66" s="37">
        <f t="shared" si="19"/>
        <v>20.584537749262967</v>
      </c>
      <c r="H66" s="146">
        <f t="shared" si="20"/>
        <v>2.9721345801971298E-2</v>
      </c>
      <c r="I66" s="146">
        <f t="shared" si="33"/>
        <v>4.9561605673742251E-3</v>
      </c>
      <c r="J66" s="146">
        <f t="shared" si="34"/>
        <v>8.9210890212736052E-2</v>
      </c>
      <c r="K66" s="155">
        <v>4.5</v>
      </c>
      <c r="L66" s="37">
        <f t="shared" si="21"/>
        <v>9.6626466691413082</v>
      </c>
      <c r="M66" s="146">
        <f t="shared" si="22"/>
        <v>3.8501324773870544E-3</v>
      </c>
      <c r="N66" s="146">
        <f t="shared" si="27"/>
        <v>5.8826474565443643E-4</v>
      </c>
      <c r="O66" s="146">
        <f t="shared" si="37"/>
        <v>2.647191355444964E-3</v>
      </c>
      <c r="P66" s="156">
        <v>29.5</v>
      </c>
      <c r="Q66" s="37">
        <f t="shared" si="24"/>
        <v>29.654090466640842</v>
      </c>
      <c r="R66" s="146">
        <f t="shared" si="25"/>
        <v>6.5729193571705008E-2</v>
      </c>
      <c r="S66" s="146">
        <f t="shared" si="29"/>
        <v>1.8403876253275941E-3</v>
      </c>
      <c r="T66" s="146">
        <f t="shared" si="36"/>
        <v>5.4291434947164027E-2</v>
      </c>
    </row>
    <row r="67" spans="1:20" x14ac:dyDescent="0.2">
      <c r="A67" s="122">
        <v>100</v>
      </c>
      <c r="B67" s="37"/>
      <c r="C67" s="146">
        <v>1</v>
      </c>
      <c r="D67" s="146">
        <f t="shared" si="31"/>
        <v>0.37751575849531771</v>
      </c>
      <c r="E67" s="146">
        <f t="shared" si="32"/>
        <v>37.751575849531768</v>
      </c>
      <c r="F67" s="122">
        <v>20</v>
      </c>
      <c r="G67" s="37">
        <f t="shared" si="19"/>
        <v>22.110172454845447</v>
      </c>
      <c r="H67" s="146">
        <f t="shared" si="20"/>
        <v>3.5057970629403967E-2</v>
      </c>
      <c r="I67" s="146">
        <f t="shared" si="33"/>
        <v>5.3366248274326691E-3</v>
      </c>
      <c r="J67" s="146">
        <f t="shared" si="34"/>
        <v>0.10673249654865338</v>
      </c>
      <c r="K67" s="155">
        <v>5</v>
      </c>
      <c r="L67" s="37">
        <f t="shared" si="21"/>
        <v>10.14795380031261</v>
      </c>
      <c r="M67" s="146">
        <f t="shared" si="22"/>
        <v>4.4693032093891805E-3</v>
      </c>
      <c r="N67" s="146">
        <f t="shared" si="27"/>
        <v>6.1917073200212606E-4</v>
      </c>
      <c r="O67" s="146">
        <f t="shared" si="37"/>
        <v>3.0958536600106303E-3</v>
      </c>
      <c r="P67" s="156">
        <v>30</v>
      </c>
      <c r="Q67" s="37">
        <f t="shared" si="24"/>
        <v>30.072041368779331</v>
      </c>
      <c r="R67" s="146">
        <f t="shared" si="25"/>
        <v>6.7595621430315667E-2</v>
      </c>
      <c r="S67" s="146">
        <f t="shared" si="29"/>
        <v>1.8664278586106586E-3</v>
      </c>
      <c r="T67" s="146">
        <f t="shared" si="36"/>
        <v>5.5992835758319759E-2</v>
      </c>
    </row>
    <row r="68" spans="1:20" x14ac:dyDescent="0.2">
      <c r="A68" s="122"/>
      <c r="B68" s="37"/>
      <c r="C68" s="146"/>
      <c r="D68" s="146" t="s">
        <v>112</v>
      </c>
      <c r="E68" s="146">
        <f>SUM(E58:E67)</f>
        <v>79.716955415466799</v>
      </c>
      <c r="F68" s="15">
        <v>22</v>
      </c>
      <c r="G68" s="37">
        <f t="shared" si="19"/>
        <v>23.649713880915154</v>
      </c>
      <c r="H68" s="146">
        <f t="shared" si="20"/>
        <v>4.077759385246818E-2</v>
      </c>
      <c r="I68" s="146">
        <f t="shared" si="33"/>
        <v>5.719623223064213E-3</v>
      </c>
      <c r="J68" s="146">
        <f t="shared" si="34"/>
        <v>0.12583171090741269</v>
      </c>
      <c r="K68" s="156">
        <v>5.5</v>
      </c>
      <c r="L68" s="37">
        <f t="shared" si="21"/>
        <v>10.617581767966989</v>
      </c>
      <c r="M68" s="146">
        <f t="shared" si="22"/>
        <v>5.1183005800880576E-3</v>
      </c>
      <c r="N68" s="146">
        <f t="shared" si="27"/>
        <v>6.4899737069887709E-4</v>
      </c>
      <c r="O68" s="146">
        <f t="shared" si="37"/>
        <v>3.569485538843824E-3</v>
      </c>
      <c r="P68" s="156">
        <v>30.5</v>
      </c>
      <c r="Q68" s="37">
        <f t="shared" si="24"/>
        <v>30.49267623857078</v>
      </c>
      <c r="R68" s="146">
        <f t="shared" si="25"/>
        <v>6.9488254658597384E-2</v>
      </c>
      <c r="S68" s="146">
        <f t="shared" si="29"/>
        <v>1.8926332282817176E-3</v>
      </c>
      <c r="T68" s="146">
        <f t="shared" si="36"/>
        <v>5.7725313462592388E-2</v>
      </c>
    </row>
    <row r="69" spans="1:20" x14ac:dyDescent="0.2">
      <c r="A69" s="122"/>
      <c r="B69" s="37"/>
      <c r="C69" s="146"/>
      <c r="D69" s="146"/>
      <c r="E69" s="146"/>
      <c r="F69" s="122">
        <v>24</v>
      </c>
      <c r="G69" s="37">
        <f t="shared" si="19"/>
        <v>25.209845688047015</v>
      </c>
      <c r="H69" s="146">
        <f t="shared" si="20"/>
        <v>4.6884545273106655E-2</v>
      </c>
      <c r="I69" s="146">
        <f t="shared" si="33"/>
        <v>6.1069514206384748E-3</v>
      </c>
      <c r="J69" s="146">
        <f t="shared" si="34"/>
        <v>0.1465668340953234</v>
      </c>
      <c r="K69" s="156">
        <v>6</v>
      </c>
      <c r="L69" s="37">
        <f t="shared" si="21"/>
        <v>11.07409124581609</v>
      </c>
      <c r="M69" s="146">
        <f t="shared" si="22"/>
        <v>5.7962280004762532E-3</v>
      </c>
      <c r="N69" s="146">
        <f t="shared" si="27"/>
        <v>6.7792742038819565E-4</v>
      </c>
      <c r="O69" s="146">
        <f t="shared" si="37"/>
        <v>4.0675645223291739E-3</v>
      </c>
      <c r="P69" s="156">
        <v>31</v>
      </c>
      <c r="Q69" s="37">
        <f t="shared" si="24"/>
        <v>30.916078893219336</v>
      </c>
      <c r="R69" s="146">
        <f t="shared" si="25"/>
        <v>7.1407263622048314E-2</v>
      </c>
      <c r="S69" s="146">
        <f t="shared" si="29"/>
        <v>1.91900896345093E-3</v>
      </c>
      <c r="T69" s="146">
        <f t="shared" si="36"/>
        <v>5.9489277866978829E-2</v>
      </c>
    </row>
    <row r="70" spans="1:20" x14ac:dyDescent="0.2">
      <c r="A70" s="151" t="s">
        <v>121</v>
      </c>
      <c r="F70" s="15">
        <v>26</v>
      </c>
      <c r="G70" s="37">
        <f t="shared" si="19"/>
        <v>26.796575100506434</v>
      </c>
      <c r="H70" s="146">
        <f t="shared" si="20"/>
        <v>5.3384734257011721E-2</v>
      </c>
      <c r="I70" s="146">
        <f t="shared" si="33"/>
        <v>6.5001889839050656E-3</v>
      </c>
      <c r="J70" s="146">
        <f t="shared" si="34"/>
        <v>0.16900491358153169</v>
      </c>
      <c r="K70" s="155">
        <v>6.5</v>
      </c>
      <c r="L70" s="37">
        <f t="shared" si="21"/>
        <v>11.519498175822466</v>
      </c>
      <c r="M70" s="146">
        <f t="shared" si="22"/>
        <v>6.5023309534527635E-3</v>
      </c>
      <c r="N70" s="146">
        <f t="shared" si="27"/>
        <v>7.0610295297651032E-4</v>
      </c>
      <c r="O70" s="146">
        <f t="shared" si="37"/>
        <v>4.5896691943473171E-3</v>
      </c>
      <c r="P70" s="156">
        <v>31.5</v>
      </c>
      <c r="Q70" s="37">
        <f t="shared" si="24"/>
        <v>31.34233354302091</v>
      </c>
      <c r="R70" s="146">
        <f t="shared" si="25"/>
        <v>7.3352823936469011E-2</v>
      </c>
      <c r="S70" s="146">
        <f t="shared" si="29"/>
        <v>1.9455603144206968E-3</v>
      </c>
      <c r="T70" s="146">
        <f t="shared" si="36"/>
        <v>6.1285149904251948E-2</v>
      </c>
    </row>
    <row r="71" spans="1:20" x14ac:dyDescent="0.2">
      <c r="A71" s="122" t="s">
        <v>109</v>
      </c>
      <c r="B71" s="122" t="s">
        <v>115</v>
      </c>
      <c r="C71" s="122" t="s">
        <v>110</v>
      </c>
      <c r="D71" s="122" t="s">
        <v>111</v>
      </c>
      <c r="E71" s="122" t="s">
        <v>113</v>
      </c>
      <c r="F71" s="122">
        <v>28</v>
      </c>
      <c r="G71" s="37">
        <f t="shared" si="19"/>
        <v>28.415506984119382</v>
      </c>
      <c r="H71" s="146">
        <f t="shared" si="20"/>
        <v>6.0285516916941208E-2</v>
      </c>
      <c r="I71" s="146">
        <f t="shared" si="33"/>
        <v>6.9007826599294872E-3</v>
      </c>
      <c r="J71" s="146">
        <f t="shared" si="34"/>
        <v>0.19322191447802564</v>
      </c>
      <c r="K71" s="155">
        <v>7</v>
      </c>
      <c r="L71" s="37">
        <f t="shared" si="21"/>
        <v>11.955423119036265</v>
      </c>
      <c r="M71" s="146">
        <f t="shared" si="22"/>
        <v>7.235967933189048E-3</v>
      </c>
      <c r="N71" s="146">
        <f t="shared" si="27"/>
        <v>7.3363697973628447E-4</v>
      </c>
      <c r="O71" s="146">
        <f t="shared" si="37"/>
        <v>5.1354588581539913E-3</v>
      </c>
      <c r="P71" s="156">
        <v>32</v>
      </c>
      <c r="Q71" s="37">
        <f t="shared" si="24"/>
        <v>31.771524896867422</v>
      </c>
      <c r="R71" s="146">
        <f t="shared" si="25"/>
        <v>7.5325116495842323E-2</v>
      </c>
      <c r="S71" s="146">
        <f t="shared" si="29"/>
        <v>1.972292559373312E-3</v>
      </c>
      <c r="T71" s="146">
        <f t="shared" si="36"/>
        <v>6.3113361899945986E-2</v>
      </c>
    </row>
    <row r="72" spans="1:20" x14ac:dyDescent="0.2">
      <c r="A72" s="122">
        <v>5</v>
      </c>
      <c r="B72" s="37">
        <f t="shared" ref="B72:B90" si="38">_xlfn.LOGNORM.INV(A72/100,H$4,H$7)</f>
        <v>10.14795380031261</v>
      </c>
      <c r="C72" s="146">
        <f t="shared" ref="C72:C90" si="39">_xlfn.LOGNORM.DIST(B72,H$17, H$20, 1)</f>
        <v>4.4693032093891805E-3</v>
      </c>
      <c r="D72" s="146">
        <f>C72</f>
        <v>4.4693032093891805E-3</v>
      </c>
      <c r="E72" s="146">
        <f>A72*D72</f>
        <v>2.2346516046945902E-2</v>
      </c>
      <c r="F72" s="15">
        <v>30</v>
      </c>
      <c r="G72" s="37">
        <f t="shared" si="19"/>
        <v>30.072041368779331</v>
      </c>
      <c r="H72" s="146">
        <f t="shared" si="20"/>
        <v>6.7595621430315667E-2</v>
      </c>
      <c r="I72" s="146">
        <f t="shared" si="33"/>
        <v>7.3101045133744588E-3</v>
      </c>
      <c r="J72" s="146">
        <f t="shared" si="34"/>
        <v>0.21930313540123375</v>
      </c>
      <c r="K72" s="156">
        <v>7.5</v>
      </c>
      <c r="L72" s="37">
        <f t="shared" si="21"/>
        <v>12.383192055349237</v>
      </c>
      <c r="M72" s="146">
        <f t="shared" si="22"/>
        <v>7.996589080742746E-3</v>
      </c>
      <c r="N72" s="146">
        <f t="shared" si="27"/>
        <v>7.6062114755369795E-4</v>
      </c>
      <c r="O72" s="146">
        <f t="shared" si="37"/>
        <v>5.7046586066527346E-3</v>
      </c>
      <c r="P72" s="156">
        <v>32.5</v>
      </c>
      <c r="Q72" s="37">
        <f t="shared" si="24"/>
        <v>32.203738265163132</v>
      </c>
      <c r="R72" s="146">
        <f t="shared" si="25"/>
        <v>7.7324327506723953E-2</v>
      </c>
      <c r="S72" s="146">
        <f t="shared" si="29"/>
        <v>1.9992110108816297E-3</v>
      </c>
      <c r="T72" s="146">
        <f t="shared" si="36"/>
        <v>6.4974357853652964E-2</v>
      </c>
    </row>
    <row r="73" spans="1:20" x14ac:dyDescent="0.2">
      <c r="A73" s="122">
        <v>10</v>
      </c>
      <c r="B73" s="37">
        <f t="shared" si="38"/>
        <v>14.432864543148714</v>
      </c>
      <c r="C73" s="146">
        <f t="shared" si="39"/>
        <v>1.2189878293624848E-2</v>
      </c>
      <c r="D73" s="146">
        <f>C73-C72</f>
        <v>7.7205750842356674E-3</v>
      </c>
      <c r="E73" s="146">
        <f t="shared" ref="E73:E74" si="40">A73*D73</f>
        <v>7.7205750842356674E-2</v>
      </c>
      <c r="F73" s="122">
        <v>32</v>
      </c>
      <c r="G73" s="37">
        <f t="shared" si="19"/>
        <v>31.771524896867422</v>
      </c>
      <c r="H73" s="146">
        <f t="shared" si="20"/>
        <v>7.5325116495842323E-2</v>
      </c>
      <c r="I73" s="146">
        <f t="shared" si="33"/>
        <v>7.7294950655266564E-3</v>
      </c>
      <c r="J73" s="146">
        <f t="shared" si="34"/>
        <v>0.24734384209685301</v>
      </c>
      <c r="K73" s="156">
        <v>8</v>
      </c>
      <c r="L73" s="37">
        <f t="shared" si="21"/>
        <v>12.803906576268187</v>
      </c>
      <c r="M73" s="146">
        <f t="shared" si="22"/>
        <v>8.7837200930013827E-3</v>
      </c>
      <c r="N73" s="146">
        <f t="shared" si="27"/>
        <v>7.8713101225863676E-4</v>
      </c>
      <c r="O73" s="146">
        <f t="shared" si="37"/>
        <v>6.297048098069094E-3</v>
      </c>
      <c r="P73" s="156">
        <v>33</v>
      </c>
      <c r="Q73" s="37">
        <f t="shared" si="24"/>
        <v>32.639059660612006</v>
      </c>
      <c r="R73" s="146">
        <f t="shared" si="25"/>
        <v>7.9350648528996828E-2</v>
      </c>
      <c r="S73" s="146">
        <f t="shared" si="29"/>
        <v>2.0263210222728756E-3</v>
      </c>
      <c r="T73" s="146">
        <f t="shared" si="36"/>
        <v>6.6868593735004894E-2</v>
      </c>
    </row>
    <row r="74" spans="1:20" x14ac:dyDescent="0.2">
      <c r="A74" s="122">
        <v>15</v>
      </c>
      <c r="B74" s="37">
        <f t="shared" si="38"/>
        <v>18.304733225629992</v>
      </c>
      <c r="C74" s="146">
        <f t="shared" si="39"/>
        <v>2.242955881768877E-2</v>
      </c>
      <c r="D74" s="146">
        <f>C74-C73</f>
        <v>1.0239680524063922E-2</v>
      </c>
      <c r="E74" s="146">
        <f t="shared" si="40"/>
        <v>0.15359520786095882</v>
      </c>
      <c r="F74" s="15">
        <v>34</v>
      </c>
      <c r="G74" s="37">
        <f t="shared" si="19"/>
        <v>33.519374688482294</v>
      </c>
      <c r="H74" s="146">
        <f t="shared" si="20"/>
        <v>8.3485413902019676E-2</v>
      </c>
      <c r="I74" s="146">
        <f t="shared" si="33"/>
        <v>8.1602974061773526E-3</v>
      </c>
      <c r="J74" s="146">
        <f t="shared" si="34"/>
        <v>0.27745011181002999</v>
      </c>
      <c r="K74" s="155">
        <v>8.5</v>
      </c>
      <c r="L74" s="37">
        <f t="shared" si="21"/>
        <v>13.218494082404334</v>
      </c>
      <c r="M74" s="146">
        <f t="shared" si="22"/>
        <v>9.5969498513408837E-3</v>
      </c>
      <c r="N74" s="146">
        <f t="shared" si="27"/>
        <v>8.1322975833950095E-4</v>
      </c>
      <c r="O74" s="146">
        <f t="shared" si="37"/>
        <v>6.9124529458857581E-3</v>
      </c>
      <c r="P74" s="156">
        <v>33.5</v>
      </c>
      <c r="Q74" s="37">
        <f t="shared" si="24"/>
        <v>33.077575897301791</v>
      </c>
      <c r="R74" s="146">
        <f t="shared" si="25"/>
        <v>8.1404276522868524E-2</v>
      </c>
      <c r="S74" s="146">
        <f t="shared" si="29"/>
        <v>2.0536279938716956E-3</v>
      </c>
      <c r="T74" s="146">
        <f t="shared" si="36"/>
        <v>6.8796537794701795E-2</v>
      </c>
    </row>
    <row r="75" spans="1:20" x14ac:dyDescent="0.2">
      <c r="A75" s="122">
        <v>20</v>
      </c>
      <c r="B75" s="37">
        <f t="shared" si="38"/>
        <v>22.110172454845447</v>
      </c>
      <c r="C75" s="146">
        <f t="shared" si="39"/>
        <v>3.5057970629403967E-2</v>
      </c>
      <c r="D75" s="146">
        <f t="shared" ref="D75:D86" si="41">C75-C74</f>
        <v>1.2628411811715198E-2</v>
      </c>
      <c r="E75" s="146">
        <f t="shared" ref="E75:E88" si="42">A75*D75</f>
        <v>0.25256823623430397</v>
      </c>
      <c r="F75" s="122">
        <v>36</v>
      </c>
      <c r="G75" s="37">
        <f t="shared" si="19"/>
        <v>35.321186543459547</v>
      </c>
      <c r="H75" s="146">
        <f t="shared" si="20"/>
        <v>9.2089299902077551E-2</v>
      </c>
      <c r="I75" s="146">
        <f t="shared" si="33"/>
        <v>8.6038860000578754E-3</v>
      </c>
      <c r="J75" s="146">
        <f t="shared" si="34"/>
        <v>0.30973989600208351</v>
      </c>
      <c r="K75" s="155">
        <v>9</v>
      </c>
      <c r="L75" s="37">
        <f t="shared" si="21"/>
        <v>13.627744514274051</v>
      </c>
      <c r="M75" s="146">
        <f t="shared" si="22"/>
        <v>1.0435920740138304E-2</v>
      </c>
      <c r="N75" s="146">
        <f t="shared" si="27"/>
        <v>8.3897088879742072E-4</v>
      </c>
      <c r="O75" s="146">
        <f t="shared" si="37"/>
        <v>7.5507379991767865E-3</v>
      </c>
      <c r="P75" s="156">
        <v>34</v>
      </c>
      <c r="Q75" s="37">
        <f t="shared" si="24"/>
        <v>33.519374688482294</v>
      </c>
      <c r="R75" s="146">
        <f t="shared" si="25"/>
        <v>8.3485413902019676E-2</v>
      </c>
      <c r="S75" s="146">
        <f t="shared" si="29"/>
        <v>2.0811373791511517E-3</v>
      </c>
      <c r="T75" s="146">
        <f t="shared" si="36"/>
        <v>7.0758670891139158E-2</v>
      </c>
    </row>
    <row r="76" spans="1:20" x14ac:dyDescent="0.2">
      <c r="A76" s="122">
        <v>25</v>
      </c>
      <c r="B76" s="37">
        <f t="shared" si="38"/>
        <v>25.999528556541673</v>
      </c>
      <c r="C76" s="146">
        <f t="shared" si="39"/>
        <v>5.0085058106288501E-2</v>
      </c>
      <c r="D76" s="146">
        <f t="shared" si="41"/>
        <v>1.5027087476884533E-2</v>
      </c>
      <c r="E76" s="146">
        <f t="shared" si="42"/>
        <v>0.37567718692211333</v>
      </c>
      <c r="F76" s="15">
        <v>38</v>
      </c>
      <c r="G76" s="37">
        <f t="shared" si="19"/>
        <v>37.18283571434489</v>
      </c>
      <c r="H76" s="146">
        <f t="shared" si="20"/>
        <v>0.1011509925653285</v>
      </c>
      <c r="I76" s="146">
        <f t="shared" si="33"/>
        <v>9.0616926632509504E-3</v>
      </c>
      <c r="J76" s="146">
        <f t="shared" si="34"/>
        <v>0.34434432120353609</v>
      </c>
      <c r="K76" s="156">
        <v>9.5</v>
      </c>
      <c r="L76" s="37">
        <f t="shared" si="21"/>
        <v>14.032337771425532</v>
      </c>
      <c r="M76" s="146">
        <f t="shared" si="22"/>
        <v>1.1300320952717114E-2</v>
      </c>
      <c r="N76" s="146">
        <f t="shared" si="27"/>
        <v>8.6440021257881E-4</v>
      </c>
      <c r="O76" s="146">
        <f t="shared" si="37"/>
        <v>8.211802019498695E-3</v>
      </c>
      <c r="P76" s="156">
        <v>34.5</v>
      </c>
      <c r="Q76" s="37">
        <f t="shared" si="24"/>
        <v>33.964544743410201</v>
      </c>
      <c r="R76" s="146">
        <f t="shared" si="25"/>
        <v>8.559426859283166E-2</v>
      </c>
      <c r="S76" s="146">
        <f t="shared" si="29"/>
        <v>2.1088546908119843E-3</v>
      </c>
      <c r="T76" s="146">
        <f t="shared" si="36"/>
        <v>7.2755486833013458E-2</v>
      </c>
    </row>
    <row r="77" spans="1:20" x14ac:dyDescent="0.2">
      <c r="A77" s="122">
        <v>30</v>
      </c>
      <c r="B77" s="37">
        <f t="shared" si="38"/>
        <v>30.072041368779331</v>
      </c>
      <c r="C77" s="146">
        <f t="shared" si="39"/>
        <v>6.7595621430315667E-2</v>
      </c>
      <c r="D77" s="146">
        <f t="shared" si="41"/>
        <v>1.7510563324027166E-2</v>
      </c>
      <c r="E77" s="146">
        <f t="shared" si="42"/>
        <v>0.52531689972081497</v>
      </c>
      <c r="F77" s="122">
        <v>40</v>
      </c>
      <c r="G77" s="37">
        <f t="shared" si="19"/>
        <v>39.110576429011779</v>
      </c>
      <c r="H77" s="146">
        <f t="shared" si="20"/>
        <v>0.11068622405084169</v>
      </c>
      <c r="I77" s="146">
        <f t="shared" si="33"/>
        <v>9.5352314855131903E-3</v>
      </c>
      <c r="J77" s="146">
        <f t="shared" si="34"/>
        <v>0.38140925942052761</v>
      </c>
      <c r="K77" s="156">
        <v>10</v>
      </c>
      <c r="L77" s="37">
        <f t="shared" si="21"/>
        <v>14.432864543148714</v>
      </c>
      <c r="M77" s="146">
        <f t="shared" si="22"/>
        <v>1.2189878293624848E-2</v>
      </c>
      <c r="N77" s="146">
        <f t="shared" si="27"/>
        <v>8.8955734090773349E-4</v>
      </c>
      <c r="O77" s="146">
        <f t="shared" si="37"/>
        <v>8.8955734090773349E-3</v>
      </c>
      <c r="P77" s="156">
        <v>35</v>
      </c>
      <c r="Q77" s="37">
        <f t="shared" si="24"/>
        <v>34.413175863612224</v>
      </c>
      <c r="R77" s="146">
        <f t="shared" si="25"/>
        <v>8.7731054099647238E-2</v>
      </c>
      <c r="S77" s="146">
        <f t="shared" si="29"/>
        <v>2.1367855068155778E-3</v>
      </c>
      <c r="T77" s="146">
        <f t="shared" si="36"/>
        <v>7.4787492738545222E-2</v>
      </c>
    </row>
    <row r="78" spans="1:20" x14ac:dyDescent="0.2">
      <c r="A78" s="122">
        <v>35</v>
      </c>
      <c r="B78" s="37">
        <f t="shared" si="38"/>
        <v>34.413175863612224</v>
      </c>
      <c r="C78" s="146">
        <f t="shared" si="39"/>
        <v>8.7731054099647238E-2</v>
      </c>
      <c r="D78" s="146">
        <f t="shared" si="41"/>
        <v>2.0135432669331571E-2</v>
      </c>
      <c r="E78" s="146">
        <f t="shared" si="42"/>
        <v>0.70474014342660496</v>
      </c>
      <c r="F78" s="15">
        <v>42</v>
      </c>
      <c r="G78" s="37">
        <f t="shared" si="19"/>
        <v>41.111145272303048</v>
      </c>
      <c r="H78" s="146">
        <f t="shared" si="20"/>
        <v>0.12071234814412604</v>
      </c>
      <c r="I78" s="146">
        <f t="shared" si="33"/>
        <v>1.002612409328435E-2</v>
      </c>
      <c r="J78" s="146">
        <f t="shared" si="34"/>
        <v>0.42109721191794269</v>
      </c>
      <c r="K78" s="155">
        <v>10.5</v>
      </c>
      <c r="L78" s="37">
        <f t="shared" si="21"/>
        <v>14.829842382172519</v>
      </c>
      <c r="M78" s="146">
        <f t="shared" si="22"/>
        <v>1.3104355126355455E-2</v>
      </c>
      <c r="N78" s="146">
        <f t="shared" si="27"/>
        <v>9.1447683273060756E-4</v>
      </c>
      <c r="O78" s="146">
        <f t="shared" si="37"/>
        <v>9.6020067436713794E-3</v>
      </c>
      <c r="P78" s="156">
        <v>35.5</v>
      </c>
      <c r="Q78" s="37">
        <f t="shared" si="24"/>
        <v>34.865359038900571</v>
      </c>
      <c r="R78" s="146">
        <f t="shared" si="25"/>
        <v>8.9895989576038934E-2</v>
      </c>
      <c r="S78" s="146">
        <f t="shared" si="29"/>
        <v>2.1649354763916967E-3</v>
      </c>
      <c r="T78" s="146">
        <f t="shared" si="36"/>
        <v>7.685520941190524E-2</v>
      </c>
    </row>
    <row r="79" spans="1:20" x14ac:dyDescent="0.2">
      <c r="A79" s="122">
        <v>40</v>
      </c>
      <c r="B79" s="37">
        <f t="shared" si="38"/>
        <v>39.110576429011779</v>
      </c>
      <c r="C79" s="146">
        <f t="shared" si="39"/>
        <v>0.11068622405084169</v>
      </c>
      <c r="D79" s="146">
        <f t="shared" si="41"/>
        <v>2.2955169951194454E-2</v>
      </c>
      <c r="E79" s="146">
        <f t="shared" si="42"/>
        <v>0.91820679804777816</v>
      </c>
      <c r="F79" s="122">
        <v>44</v>
      </c>
      <c r="G79" s="37">
        <f t="shared" si="19"/>
        <v>43.191873118602523</v>
      </c>
      <c r="H79" s="146">
        <f t="shared" si="20"/>
        <v>0.1312484746112984</v>
      </c>
      <c r="I79" s="146">
        <f t="shared" si="33"/>
        <v>1.0536126467172363E-2</v>
      </c>
      <c r="J79" s="146">
        <f t="shared" si="34"/>
        <v>0.46358956455558398</v>
      </c>
      <c r="K79" s="155">
        <v>11</v>
      </c>
      <c r="L79" s="37">
        <f t="shared" si="21"/>
        <v>15.223728281311116</v>
      </c>
      <c r="M79" s="146">
        <f t="shared" si="22"/>
        <v>1.4043544210956511E-2</v>
      </c>
      <c r="N79" s="146">
        <f t="shared" si="27"/>
        <v>9.3918908460105532E-4</v>
      </c>
      <c r="O79" s="146">
        <f t="shared" si="37"/>
        <v>1.0331079930611609E-2</v>
      </c>
      <c r="P79" s="156">
        <v>36</v>
      </c>
      <c r="Q79" s="37">
        <f t="shared" si="24"/>
        <v>35.321186543459547</v>
      </c>
      <c r="R79" s="146">
        <f t="shared" si="25"/>
        <v>9.2089299902077551E-2</v>
      </c>
      <c r="S79" s="146">
        <f t="shared" si="29"/>
        <v>2.1933103260386166E-3</v>
      </c>
      <c r="T79" s="146">
        <f t="shared" si="36"/>
        <v>7.8959171737390199E-2</v>
      </c>
    </row>
    <row r="80" spans="1:20" x14ac:dyDescent="0.2">
      <c r="A80" s="122">
        <v>45</v>
      </c>
      <c r="B80" s="37">
        <f t="shared" si="38"/>
        <v>44.264780533755996</v>
      </c>
      <c r="C80" s="146">
        <f t="shared" si="39"/>
        <v>0.13671428035658018</v>
      </c>
      <c r="D80" s="146">
        <f t="shared" si="41"/>
        <v>2.6028056305738484E-2</v>
      </c>
      <c r="E80" s="146">
        <f t="shared" si="42"/>
        <v>1.1712625337582319</v>
      </c>
      <c r="F80" s="15">
        <v>46</v>
      </c>
      <c r="G80" s="37">
        <f t="shared" si="19"/>
        <v>45.36081037597463</v>
      </c>
      <c r="H80" s="146">
        <f t="shared" si="20"/>
        <v>0.14231563309762313</v>
      </c>
      <c r="I80" s="146">
        <f t="shared" si="33"/>
        <v>1.1067158486324724E-2</v>
      </c>
      <c r="J80" s="146">
        <f t="shared" si="34"/>
        <v>0.50908929037093731</v>
      </c>
      <c r="K80" s="156">
        <v>11.5</v>
      </c>
      <c r="L80" s="37">
        <f t="shared" si="21"/>
        <v>15.614928637607909</v>
      </c>
      <c r="M80" s="146">
        <f t="shared" si="22"/>
        <v>1.500726524217743E-2</v>
      </c>
      <c r="N80" s="146">
        <f t="shared" si="27"/>
        <v>9.6372103122091893E-4</v>
      </c>
      <c r="O80" s="146">
        <f t="shared" si="37"/>
        <v>1.1082791859040568E-2</v>
      </c>
      <c r="P80" s="156">
        <v>36.5</v>
      </c>
      <c r="Q80" s="37">
        <f t="shared" si="24"/>
        <v>35.780752032310346</v>
      </c>
      <c r="R80" s="146">
        <f t="shared" si="25"/>
        <v>9.4311215767617834E-2</v>
      </c>
      <c r="S80" s="146">
        <f t="shared" si="29"/>
        <v>2.2219158655402832E-3</v>
      </c>
      <c r="T80" s="146">
        <f t="shared" si="36"/>
        <v>8.109992909222033E-2</v>
      </c>
    </row>
    <row r="81" spans="1:20" x14ac:dyDescent="0.2">
      <c r="A81" s="122">
        <v>50</v>
      </c>
      <c r="B81" s="37">
        <f t="shared" si="38"/>
        <v>49.999999999999993</v>
      </c>
      <c r="C81" s="146">
        <f t="shared" si="39"/>
        <v>0.16613798748279268</v>
      </c>
      <c r="D81" s="146">
        <f t="shared" si="41"/>
        <v>2.9423707126212506E-2</v>
      </c>
      <c r="E81" s="146">
        <f t="shared" si="42"/>
        <v>1.4711853563106252</v>
      </c>
      <c r="F81" s="122">
        <v>48</v>
      </c>
      <c r="G81" s="37">
        <f t="shared" si="19"/>
        <v>47.626870793169402</v>
      </c>
      <c r="H81" s="146">
        <f t="shared" si="20"/>
        <v>0.15393697054018707</v>
      </c>
      <c r="I81" s="146">
        <f t="shared" si="33"/>
        <v>1.1621337442563939E-2</v>
      </c>
      <c r="J81" s="146">
        <f t="shared" si="34"/>
        <v>0.55782419724306909</v>
      </c>
      <c r="K81" s="156">
        <v>12</v>
      </c>
      <c r="L81" s="37">
        <f t="shared" si="21"/>
        <v>16.003807236340531</v>
      </c>
      <c r="M81" s="146">
        <f t="shared" si="22"/>
        <v>1.5995361945714659E-2</v>
      </c>
      <c r="N81" s="146">
        <f t="shared" si="27"/>
        <v>9.8809670353722928E-4</v>
      </c>
      <c r="O81" s="146">
        <f t="shared" si="37"/>
        <v>1.1857160442446751E-2</v>
      </c>
      <c r="P81" s="156">
        <v>37</v>
      </c>
      <c r="Q81" s="37">
        <f t="shared" si="24"/>
        <v>36.244150638450705</v>
      </c>
      <c r="R81" s="146">
        <f t="shared" si="25"/>
        <v>9.6561973761632086E-2</v>
      </c>
      <c r="S81" s="146">
        <f t="shared" si="29"/>
        <v>2.2507579940142519E-3</v>
      </c>
      <c r="T81" s="146">
        <f t="shared" si="36"/>
        <v>8.3278045778527321E-2</v>
      </c>
    </row>
    <row r="82" spans="1:20" x14ac:dyDescent="0.2">
      <c r="A82" s="122">
        <v>55</v>
      </c>
      <c r="B82" s="37">
        <f t="shared" si="38"/>
        <v>56.478310066250479</v>
      </c>
      <c r="C82" s="146">
        <f t="shared" si="39"/>
        <v>0.19936868870067512</v>
      </c>
      <c r="D82" s="146">
        <f t="shared" si="41"/>
        <v>3.3230701217882436E-2</v>
      </c>
      <c r="E82" s="146">
        <f t="shared" si="42"/>
        <v>1.8276885669835339</v>
      </c>
      <c r="F82" s="15">
        <v>50</v>
      </c>
      <c r="G82" s="37">
        <f t="shared" si="19"/>
        <v>49.999999999999993</v>
      </c>
      <c r="H82" s="146">
        <f t="shared" si="20"/>
        <v>0.16613798748279268</v>
      </c>
      <c r="I82" s="146">
        <f t="shared" si="33"/>
        <v>1.2201016942605614E-2</v>
      </c>
      <c r="J82" s="146">
        <f t="shared" si="34"/>
        <v>0.61005084713028068</v>
      </c>
      <c r="K82" s="155">
        <v>12.5</v>
      </c>
      <c r="L82" s="37">
        <f t="shared" si="21"/>
        <v>16.390691714415567</v>
      </c>
      <c r="M82" s="146">
        <f t="shared" si="22"/>
        <v>1.7007699623898847E-2</v>
      </c>
      <c r="N82" s="146">
        <f t="shared" si="27"/>
        <v>1.0123376781841879E-3</v>
      </c>
      <c r="O82" s="146">
        <f t="shared" si="37"/>
        <v>1.2654220977302349E-2</v>
      </c>
      <c r="P82" s="156">
        <v>37.5</v>
      </c>
      <c r="Q82" s="37">
        <f t="shared" si="24"/>
        <v>36.711479070958809</v>
      </c>
      <c r="R82" s="146">
        <f t="shared" si="25"/>
        <v>9.8841816467643506E-2</v>
      </c>
      <c r="S82" s="146">
        <f t="shared" si="29"/>
        <v>2.2798427060114201E-3</v>
      </c>
      <c r="T82" s="146">
        <f t="shared" si="36"/>
        <v>8.5494101475428255E-2</v>
      </c>
    </row>
    <row r="83" spans="1:20" x14ac:dyDescent="0.2">
      <c r="A83" s="122">
        <v>60</v>
      </c>
      <c r="B83" s="37">
        <f t="shared" si="38"/>
        <v>63.921328404291408</v>
      </c>
      <c r="C83" s="146">
        <f t="shared" si="39"/>
        <v>0.23693621228519759</v>
      </c>
      <c r="D83" s="146">
        <f t="shared" si="41"/>
        <v>3.7567523584522478E-2</v>
      </c>
      <c r="E83" s="146">
        <f t="shared" si="42"/>
        <v>2.2540514150713484</v>
      </c>
      <c r="F83" s="122">
        <v>52</v>
      </c>
      <c r="G83" s="37">
        <f t="shared" si="19"/>
        <v>52.491376367278512</v>
      </c>
      <c r="H83" s="146">
        <f t="shared" si="20"/>
        <v>0.17894682038927956</v>
      </c>
      <c r="I83" s="146">
        <f t="shared" si="33"/>
        <v>1.2808832906486878E-2</v>
      </c>
      <c r="J83" s="146">
        <f t="shared" si="34"/>
        <v>0.66605931113731764</v>
      </c>
      <c r="K83" s="155">
        <v>13</v>
      </c>
      <c r="L83" s="37">
        <f t="shared" si="21"/>
        <v>16.775878842072004</v>
      </c>
      <c r="M83" s="146">
        <f t="shared" si="22"/>
        <v>1.8044163066901184E-2</v>
      </c>
      <c r="N83" s="146">
        <f t="shared" si="27"/>
        <v>1.0364634430023376E-3</v>
      </c>
      <c r="O83" s="146">
        <f t="shared" si="37"/>
        <v>1.3474024759030388E-2</v>
      </c>
      <c r="P83" s="156">
        <v>38</v>
      </c>
      <c r="Q83" s="37">
        <f t="shared" si="24"/>
        <v>37.18283571434489</v>
      </c>
      <c r="R83" s="146">
        <f t="shared" si="25"/>
        <v>0.1011509925653285</v>
      </c>
      <c r="S83" s="146">
        <f t="shared" si="29"/>
        <v>2.3091760976849951E-3</v>
      </c>
      <c r="T83" s="146">
        <f t="shared" si="36"/>
        <v>8.7748691712029814E-2</v>
      </c>
    </row>
    <row r="84" spans="1:20" x14ac:dyDescent="0.2">
      <c r="A84" s="122">
        <v>65</v>
      </c>
      <c r="B84" s="37">
        <f t="shared" si="38"/>
        <v>72.646593557889162</v>
      </c>
      <c r="C84" s="146">
        <f t="shared" si="39"/>
        <v>0.27953640649521116</v>
      </c>
      <c r="D84" s="146">
        <f t="shared" si="41"/>
        <v>4.260019421001357E-2</v>
      </c>
      <c r="E84" s="146">
        <f t="shared" si="42"/>
        <v>2.7690126236508821</v>
      </c>
      <c r="F84" s="15">
        <v>54</v>
      </c>
      <c r="G84" s="37">
        <f t="shared" si="19"/>
        <v>55.113653818762579</v>
      </c>
      <c r="H84" s="146">
        <f t="shared" si="20"/>
        <v>0.19239457918876865</v>
      </c>
      <c r="I84" s="146">
        <f t="shared" si="33"/>
        <v>1.344775879948909E-2</v>
      </c>
      <c r="J84" s="146">
        <f t="shared" si="34"/>
        <v>0.72617897517241081</v>
      </c>
      <c r="K84" s="156">
        <v>13.5</v>
      </c>
      <c r="L84" s="37">
        <f t="shared" si="21"/>
        <v>17.15963887625411</v>
      </c>
      <c r="M84" s="146">
        <f t="shared" si="22"/>
        <v>1.9104654763895782E-2</v>
      </c>
      <c r="N84" s="146">
        <f t="shared" si="27"/>
        <v>1.0604916969945977E-3</v>
      </c>
      <c r="O84" s="146">
        <f t="shared" si="37"/>
        <v>1.4316637909427068E-2</v>
      </c>
      <c r="P84" s="156">
        <v>38.5</v>
      </c>
      <c r="Q84" s="37">
        <f t="shared" si="24"/>
        <v>37.658320729430606</v>
      </c>
      <c r="R84" s="146">
        <f t="shared" si="25"/>
        <v>0.10348975693837562</v>
      </c>
      <c r="S84" s="146">
        <f t="shared" si="29"/>
        <v>2.3387643730471142E-3</v>
      </c>
      <c r="T84" s="146">
        <f t="shared" si="36"/>
        <v>9.0042428362313895E-2</v>
      </c>
    </row>
    <row r="85" spans="1:20" x14ac:dyDescent="0.2">
      <c r="A85" s="122">
        <v>70</v>
      </c>
      <c r="B85" s="37">
        <f t="shared" si="38"/>
        <v>83.133697820577225</v>
      </c>
      <c r="C85" s="146">
        <f t="shared" si="39"/>
        <v>0.32810958011153157</v>
      </c>
      <c r="D85" s="146">
        <f t="shared" si="41"/>
        <v>4.8573173616320409E-2</v>
      </c>
      <c r="E85" s="146">
        <f t="shared" si="42"/>
        <v>3.4001221531424286</v>
      </c>
      <c r="F85" s="122">
        <v>56</v>
      </c>
      <c r="G85" s="37">
        <f t="shared" si="19"/>
        <v>57.881259123334061</v>
      </c>
      <c r="H85" s="146">
        <f t="shared" si="20"/>
        <v>0.20651575203573133</v>
      </c>
      <c r="I85" s="146">
        <f t="shared" si="33"/>
        <v>1.4121172846962682E-2</v>
      </c>
      <c r="J85" s="146">
        <f t="shared" si="34"/>
        <v>0.79078567942991018</v>
      </c>
      <c r="K85" s="156">
        <v>14</v>
      </c>
      <c r="L85" s="37">
        <f t="shared" si="21"/>
        <v>17.542219177406714</v>
      </c>
      <c r="M85" s="146">
        <f t="shared" si="22"/>
        <v>2.0189093362420724E-2</v>
      </c>
      <c r="N85" s="146">
        <f t="shared" si="27"/>
        <v>1.0844385985249415E-3</v>
      </c>
      <c r="O85" s="146">
        <f t="shared" si="37"/>
        <v>1.5182140379349181E-2</v>
      </c>
      <c r="P85" s="156">
        <v>39</v>
      </c>
      <c r="Q85" s="37">
        <f t="shared" si="24"/>
        <v>38.138036156033714</v>
      </c>
      <c r="R85" s="146">
        <f t="shared" si="25"/>
        <v>0.10585837078870323</v>
      </c>
      <c r="S85" s="146">
        <f t="shared" si="29"/>
        <v>2.3686138503276194E-3</v>
      </c>
      <c r="T85" s="146">
        <f t="shared" si="36"/>
        <v>9.2375940162777156E-2</v>
      </c>
    </row>
    <row r="86" spans="1:20" x14ac:dyDescent="0.2">
      <c r="A86" s="122">
        <v>75</v>
      </c>
      <c r="B86" s="37">
        <f t="shared" si="38"/>
        <v>96.155589689374622</v>
      </c>
      <c r="C86" s="146">
        <f t="shared" si="39"/>
        <v>0.3839778557526673</v>
      </c>
      <c r="D86" s="146">
        <f t="shared" si="41"/>
        <v>5.5868275641135723E-2</v>
      </c>
      <c r="E86" s="146">
        <f t="shared" si="42"/>
        <v>4.190120673085179</v>
      </c>
      <c r="F86" s="15">
        <v>58</v>
      </c>
      <c r="G86" s="37">
        <f t="shared" si="19"/>
        <v>60.810760280236522</v>
      </c>
      <c r="H86" s="146">
        <f t="shared" si="20"/>
        <v>0.22134869288106718</v>
      </c>
      <c r="I86" s="146">
        <f t="shared" si="33"/>
        <v>1.4832940845335846E-2</v>
      </c>
      <c r="J86" s="146">
        <f t="shared" si="34"/>
        <v>0.860310569029479</v>
      </c>
      <c r="K86" s="155">
        <v>14.5</v>
      </c>
      <c r="L86" s="37">
        <f t="shared" si="21"/>
        <v>17.923847236473247</v>
      </c>
      <c r="M86" s="146">
        <f t="shared" si="22"/>
        <v>2.1297412334689951E-2</v>
      </c>
      <c r="N86" s="146">
        <f t="shared" si="27"/>
        <v>1.1083189722692274E-3</v>
      </c>
      <c r="O86" s="146">
        <f t="shared" si="37"/>
        <v>1.6070625097903798E-2</v>
      </c>
      <c r="P86" s="156">
        <v>39.5</v>
      </c>
      <c r="Q86" s="37">
        <f t="shared" si="24"/>
        <v>38.622086017735775</v>
      </c>
      <c r="R86" s="146">
        <f t="shared" si="25"/>
        <v>0.10825710175715933</v>
      </c>
      <c r="S86" s="146">
        <f t="shared" si="29"/>
        <v>2.3987309684560948E-3</v>
      </c>
      <c r="T86" s="146">
        <f t="shared" si="36"/>
        <v>9.4749873254015737E-2</v>
      </c>
    </row>
    <row r="87" spans="1:20" x14ac:dyDescent="0.2">
      <c r="A87" s="122">
        <v>80</v>
      </c>
      <c r="B87" s="37">
        <f t="shared" si="38"/>
        <v>113.070126662541</v>
      </c>
      <c r="C87" s="146">
        <f t="shared" si="39"/>
        <v>0.44910674266492873</v>
      </c>
      <c r="D87" s="146">
        <f>C87-C86</f>
        <v>6.512888691226143E-2</v>
      </c>
      <c r="E87" s="146">
        <f t="shared" si="42"/>
        <v>5.2103109529809144</v>
      </c>
      <c r="F87" s="122">
        <v>60</v>
      </c>
      <c r="G87" s="37">
        <f t="shared" si="19"/>
        <v>63.921328404291408</v>
      </c>
      <c r="H87" s="146">
        <f t="shared" si="20"/>
        <v>0.23693621228519759</v>
      </c>
      <c r="I87" s="146">
        <f t="shared" si="33"/>
        <v>1.5587519404130418E-2</v>
      </c>
      <c r="J87" s="146">
        <f t="shared" si="34"/>
        <v>0.93525116424782506</v>
      </c>
      <c r="K87" s="155">
        <v>15</v>
      </c>
      <c r="L87" s="37">
        <f t="shared" si="21"/>
        <v>18.304733225629992</v>
      </c>
      <c r="M87" s="146">
        <f t="shared" si="22"/>
        <v>2.242955881768877E-2</v>
      </c>
      <c r="N87" s="146">
        <f t="shared" si="27"/>
        <v>1.1321464829988186E-3</v>
      </c>
      <c r="O87" s="146">
        <f t="shared" si="37"/>
        <v>1.6982197244982278E-2</v>
      </c>
      <c r="P87" s="156">
        <v>40</v>
      </c>
      <c r="Q87" s="37">
        <f t="shared" si="24"/>
        <v>39.110576429011779</v>
      </c>
      <c r="R87" s="146">
        <f t="shared" si="25"/>
        <v>0.11068622405084169</v>
      </c>
      <c r="S87" s="146">
        <f t="shared" si="29"/>
        <v>2.429122293682362E-3</v>
      </c>
      <c r="T87" s="146">
        <f t="shared" si="36"/>
        <v>9.716489174729448E-2</v>
      </c>
    </row>
    <row r="88" spans="1:20" x14ac:dyDescent="0.2">
      <c r="A88" s="122">
        <v>85</v>
      </c>
      <c r="B88" s="37">
        <f t="shared" si="38"/>
        <v>136.57669681301556</v>
      </c>
      <c r="C88" s="146">
        <f t="shared" si="39"/>
        <v>0.52666682570498957</v>
      </c>
      <c r="D88" s="146">
        <f>C88-C87</f>
        <v>7.7560083040060845E-2</v>
      </c>
      <c r="E88" s="146">
        <f t="shared" si="42"/>
        <v>6.5926070584051715</v>
      </c>
      <c r="F88" s="15">
        <v>62</v>
      </c>
      <c r="G88" s="37">
        <f t="shared" si="19"/>
        <v>67.235323825383134</v>
      </c>
      <c r="H88" s="146">
        <f t="shared" si="20"/>
        <v>0.25332629848103622</v>
      </c>
      <c r="I88" s="146">
        <f t="shared" si="33"/>
        <v>1.6390086195838621E-2</v>
      </c>
      <c r="J88" s="146">
        <f t="shared" si="34"/>
        <v>1.0161853441419946</v>
      </c>
      <c r="K88" s="156">
        <v>15.5</v>
      </c>
      <c r="L88" s="37">
        <f t="shared" si="21"/>
        <v>18.685072161426906</v>
      </c>
      <c r="M88" s="146">
        <f t="shared" si="22"/>
        <v>2.3585492600170274E-2</v>
      </c>
      <c r="N88" s="146">
        <f t="shared" si="27"/>
        <v>1.1559337824815046E-3</v>
      </c>
      <c r="O88" s="146">
        <f t="shared" si="37"/>
        <v>1.7916973628463319E-2</v>
      </c>
      <c r="P88" s="156">
        <v>40.5</v>
      </c>
      <c r="Q88" s="37">
        <f t="shared" si="24"/>
        <v>39.603615705003349</v>
      </c>
      <c r="R88" s="146">
        <f t="shared" si="25"/>
        <v>0.11314601857719452</v>
      </c>
      <c r="S88" s="146">
        <f t="shared" si="29"/>
        <v>2.4597945263528237E-3</v>
      </c>
      <c r="T88" s="146">
        <f t="shared" si="36"/>
        <v>9.9621678317289353E-2</v>
      </c>
    </row>
    <row r="89" spans="1:20" x14ac:dyDescent="0.2">
      <c r="A89" s="122">
        <v>90</v>
      </c>
      <c r="B89" s="37">
        <f t="shared" si="38"/>
        <v>173.21578765781123</v>
      </c>
      <c r="C89" s="146">
        <f t="shared" si="39"/>
        <v>0.62248424150468229</v>
      </c>
      <c r="D89" s="146">
        <f t="shared" ref="D89:D90" si="43">C89-C88</f>
        <v>9.5817415799692718E-2</v>
      </c>
      <c r="E89" s="146">
        <f t="shared" ref="E89:E91" si="44">A89*D89</f>
        <v>8.6235674219723446</v>
      </c>
      <c r="F89" s="122">
        <v>64</v>
      </c>
      <c r="G89" s="37">
        <f t="shared" si="19"/>
        <v>70.779049195416292</v>
      </c>
      <c r="H89" s="146">
        <f t="shared" si="20"/>
        <v>0.27057300478727503</v>
      </c>
      <c r="I89" s="146">
        <f t="shared" si="33"/>
        <v>1.7246706306238813E-2</v>
      </c>
      <c r="J89" s="146">
        <f t="shared" si="34"/>
        <v>1.103789203599284</v>
      </c>
      <c r="K89" s="156">
        <v>16</v>
      </c>
      <c r="L89" s="37">
        <f t="shared" si="21"/>
        <v>19.065045750209386</v>
      </c>
      <c r="M89" s="146">
        <f t="shared" si="22"/>
        <v>2.4765185234597073E-2</v>
      </c>
      <c r="N89" s="146">
        <f t="shared" si="27"/>
        <v>1.1796926344267988E-3</v>
      </c>
      <c r="O89" s="146">
        <f t="shared" si="37"/>
        <v>1.8875082150828781E-2</v>
      </c>
      <c r="P89" s="156">
        <v>41</v>
      </c>
      <c r="Q89" s="37">
        <f t="shared" si="24"/>
        <v>40.101314474221702</v>
      </c>
      <c r="R89" s="146">
        <f t="shared" si="25"/>
        <v>0.11563677308505591</v>
      </c>
      <c r="S89" s="146">
        <f t="shared" si="29"/>
        <v>2.4907545078613896E-3</v>
      </c>
      <c r="T89" s="146">
        <f t="shared" si="36"/>
        <v>0.10212093482231697</v>
      </c>
    </row>
    <row r="90" spans="1:20" x14ac:dyDescent="0.2">
      <c r="A90" s="122">
        <v>95</v>
      </c>
      <c r="B90" s="37">
        <f t="shared" si="38"/>
        <v>246.35508292548428</v>
      </c>
      <c r="C90" s="146">
        <f t="shared" si="39"/>
        <v>0.75026182656550433</v>
      </c>
      <c r="D90" s="146">
        <f t="shared" si="43"/>
        <v>0.12777758506082204</v>
      </c>
      <c r="E90" s="146">
        <f t="shared" si="44"/>
        <v>12.138870580778093</v>
      </c>
      <c r="F90" s="15">
        <v>66</v>
      </c>
      <c r="G90" s="37">
        <f t="shared" ref="G90:G106" si="45">_xlfn.LOGNORM.INV(F90/100,H$4,H$7)</f>
        <v>74.583730252552471</v>
      </c>
      <c r="H90" s="146">
        <f t="shared" ref="H90:H106" si="46">_xlfn.LOGNORM.DIST(G90,H$17, H$20,1)</f>
        <v>0.28873755225454273</v>
      </c>
      <c r="I90" s="146">
        <f t="shared" si="33"/>
        <v>1.81645474672677E-2</v>
      </c>
      <c r="J90" s="146">
        <f t="shared" si="34"/>
        <v>1.1988601328396682</v>
      </c>
      <c r="K90" s="155">
        <v>16.5</v>
      </c>
      <c r="L90" s="37">
        <f t="shared" ref="L90:L107" si="47">_xlfn.LOGNORM.INV(K90/100,H$4,H$7)</f>
        <v>19.444823971343222</v>
      </c>
      <c r="M90" s="146">
        <f t="shared" ref="M90:M107" si="48">_xlfn.LOGNORM.DIST(L90,H$17, H$20,1)</f>
        <v>2.59686192559677E-2</v>
      </c>
      <c r="N90" s="146">
        <f t="shared" si="27"/>
        <v>1.2034340213706272E-3</v>
      </c>
      <c r="O90" s="146">
        <f t="shared" si="37"/>
        <v>1.9856661352615351E-2</v>
      </c>
      <c r="P90" s="156">
        <v>41.5</v>
      </c>
      <c r="Q90" s="37">
        <f t="shared" ref="Q90:Q107" si="49">_xlfn.LOGNORM.INV(P90/100,H$4,H$7)</f>
        <v>40.603785794472692</v>
      </c>
      <c r="R90" s="146">
        <f t="shared" ref="R90:R107" si="50">_xlfn.LOGNORM.DIST(Q90,H$17, H$20,1)</f>
        <v>0.11815878231284904</v>
      </c>
      <c r="S90" s="146">
        <f t="shared" si="29"/>
        <v>2.5220092277931372E-3</v>
      </c>
      <c r="T90" s="146">
        <f t="shared" si="36"/>
        <v>0.10466338295341519</v>
      </c>
    </row>
    <row r="91" spans="1:20" x14ac:dyDescent="0.2">
      <c r="A91" s="122">
        <v>100</v>
      </c>
      <c r="B91" s="37"/>
      <c r="C91" s="146">
        <v>1</v>
      </c>
      <c r="D91" s="146">
        <f>C91-C90</f>
        <v>0.24973817343449567</v>
      </c>
      <c r="E91" s="146">
        <f t="shared" si="44"/>
        <v>24.973817343449568</v>
      </c>
      <c r="F91" s="122">
        <v>68</v>
      </c>
      <c r="G91" s="37">
        <f t="shared" si="45"/>
        <v>78.686811795001162</v>
      </c>
      <c r="H91" s="146">
        <f t="shared" si="46"/>
        <v>0.30788971471776777</v>
      </c>
      <c r="I91" s="146">
        <f t="shared" si="33"/>
        <v>1.9152162463225042E-2</v>
      </c>
      <c r="J91" s="146">
        <f t="shared" si="34"/>
        <v>1.3023470474993029</v>
      </c>
      <c r="K91" s="155">
        <v>17</v>
      </c>
      <c r="L91" s="37">
        <f t="shared" si="47"/>
        <v>19.82456644270907</v>
      </c>
      <c r="M91" s="146">
        <f t="shared" si="48"/>
        <v>2.7195787492588833E-2</v>
      </c>
      <c r="N91" s="146">
        <f t="shared" si="27"/>
        <v>1.2271682366211331E-3</v>
      </c>
      <c r="O91" s="146">
        <f t="shared" si="37"/>
        <v>2.0861860022559263E-2</v>
      </c>
      <c r="P91" s="156">
        <v>42</v>
      </c>
      <c r="Q91" s="37">
        <f t="shared" si="49"/>
        <v>41.111145272303048</v>
      </c>
      <c r="R91" s="146">
        <f t="shared" si="50"/>
        <v>0.12071234814412604</v>
      </c>
      <c r="S91" s="146">
        <f t="shared" si="29"/>
        <v>2.5535658312769993E-3</v>
      </c>
      <c r="T91" s="146">
        <f t="shared" si="36"/>
        <v>0.10724976491363397</v>
      </c>
    </row>
    <row r="92" spans="1:20" x14ac:dyDescent="0.2">
      <c r="D92" s="146" t="s">
        <v>112</v>
      </c>
      <c r="E92" s="146">
        <f>SUM(E72:E91)</f>
        <v>77.6522734186902</v>
      </c>
      <c r="F92" s="15">
        <v>70</v>
      </c>
      <c r="G92" s="37">
        <f t="shared" si="45"/>
        <v>83.133697820577225</v>
      </c>
      <c r="H92" s="146">
        <f t="shared" si="46"/>
        <v>0.32810958011153157</v>
      </c>
      <c r="I92" s="146">
        <f t="shared" si="33"/>
        <v>2.0219865393763803E-2</v>
      </c>
      <c r="J92" s="146">
        <f t="shared" si="34"/>
        <v>1.4153905775634663</v>
      </c>
      <c r="K92" s="156">
        <v>17.5</v>
      </c>
      <c r="L92" s="37">
        <f t="shared" si="47"/>
        <v>20.204423604329698</v>
      </c>
      <c r="M92" s="146">
        <f t="shared" si="48"/>
        <v>2.8446692456333716E-2</v>
      </c>
      <c r="N92" s="146">
        <f t="shared" si="27"/>
        <v>1.2509049637448831E-3</v>
      </c>
      <c r="O92" s="146">
        <f t="shared" si="37"/>
        <v>2.1890836865535453E-2</v>
      </c>
      <c r="P92" s="156">
        <v>42.5</v>
      </c>
      <c r="Q92" s="37">
        <f t="shared" si="49"/>
        <v>41.623511186276922</v>
      </c>
      <c r="R92" s="146">
        <f t="shared" si="50"/>
        <v>0.12329777977069621</v>
      </c>
      <c r="S92" s="146">
        <f t="shared" si="29"/>
        <v>2.5854316265701699E-3</v>
      </c>
      <c r="T92" s="146">
        <f t="shared" si="36"/>
        <v>0.10988084412923221</v>
      </c>
    </row>
    <row r="93" spans="1:20" x14ac:dyDescent="0.2">
      <c r="F93" s="122">
        <v>72</v>
      </c>
      <c r="G93" s="37">
        <f t="shared" si="45"/>
        <v>87.980130053536513</v>
      </c>
      <c r="H93" s="146">
        <f t="shared" si="46"/>
        <v>0.34948982166929254</v>
      </c>
      <c r="I93" s="146">
        <f t="shared" si="33"/>
        <v>2.1380241557760971E-2</v>
      </c>
      <c r="J93" s="146">
        <f t="shared" si="34"/>
        <v>1.5393773921587899</v>
      </c>
      <c r="K93" s="156">
        <v>18</v>
      </c>
      <c r="L93" s="37">
        <f t="shared" si="47"/>
        <v>20.584537749262967</v>
      </c>
      <c r="M93" s="146">
        <f t="shared" si="48"/>
        <v>2.9721345801971298E-2</v>
      </c>
      <c r="N93" s="146">
        <f t="shared" si="27"/>
        <v>1.2746533456375816E-3</v>
      </c>
      <c r="O93" s="146">
        <f t="shared" si="37"/>
        <v>2.294376022147647E-2</v>
      </c>
      <c r="P93" s="156">
        <v>43</v>
      </c>
      <c r="Q93" s="37">
        <f t="shared" si="49"/>
        <v>42.141004614401318</v>
      </c>
      <c r="R93" s="146">
        <f t="shared" si="50"/>
        <v>0.12591539386358677</v>
      </c>
      <c r="S93" s="146">
        <f t="shared" si="29"/>
        <v>2.6176140928905606E-3</v>
      </c>
      <c r="T93" s="146">
        <f t="shared" si="36"/>
        <v>0.1125574059942941</v>
      </c>
    </row>
    <row r="94" spans="1:20" x14ac:dyDescent="0.2">
      <c r="F94" s="15">
        <v>74</v>
      </c>
      <c r="G94" s="37">
        <f t="shared" si="45"/>
        <v>93.295504765933742</v>
      </c>
      <c r="H94" s="146">
        <f t="shared" si="46"/>
        <v>0.37213867330625744</v>
      </c>
      <c r="I94" s="146">
        <f t="shared" si="33"/>
        <v>2.2648851636964895E-2</v>
      </c>
      <c r="J94" s="146">
        <f t="shared" si="34"/>
        <v>1.6760150211354023</v>
      </c>
      <c r="K94" s="155">
        <v>18.5</v>
      </c>
      <c r="L94" s="37">
        <f t="shared" si="47"/>
        <v>20.965043925569677</v>
      </c>
      <c r="M94" s="146">
        <f t="shared" si="48"/>
        <v>3.1019767846784972E-2</v>
      </c>
      <c r="N94" s="146">
        <f t="shared" si="27"/>
        <v>1.2984220448136741E-3</v>
      </c>
      <c r="O94" s="146">
        <f t="shared" si="37"/>
        <v>2.402080782905297E-2</v>
      </c>
      <c r="P94" s="156">
        <v>43.5</v>
      </c>
      <c r="Q94" s="37">
        <f t="shared" si="49"/>
        <v>42.663749566031683</v>
      </c>
      <c r="R94" s="146">
        <f t="shared" si="50"/>
        <v>0.12856551475210587</v>
      </c>
      <c r="S94" s="146">
        <f t="shared" si="29"/>
        <v>2.6501208885190974E-3</v>
      </c>
      <c r="T94" s="146">
        <f t="shared" si="36"/>
        <v>0.11528025865058074</v>
      </c>
    </row>
    <row r="95" spans="1:20" x14ac:dyDescent="0.2">
      <c r="F95" s="122">
        <v>76</v>
      </c>
      <c r="G95" s="37">
        <f t="shared" si="45"/>
        <v>99.167604234299205</v>
      </c>
      <c r="H95" s="146">
        <f t="shared" si="46"/>
        <v>0.39618389858460346</v>
      </c>
      <c r="I95" s="146">
        <f t="shared" si="33"/>
        <v>2.4045225278346016E-2</v>
      </c>
      <c r="J95" s="146">
        <f t="shared" si="34"/>
        <v>1.8274371211542972</v>
      </c>
      <c r="K95" s="155">
        <v>19</v>
      </c>
      <c r="L95" s="37">
        <f t="shared" si="47"/>
        <v>21.346070728935565</v>
      </c>
      <c r="M95" s="146">
        <f t="shared" si="48"/>
        <v>3.2341987143053183E-2</v>
      </c>
      <c r="N95" s="146">
        <f t="shared" si="27"/>
        <v>1.3222192962682108E-3</v>
      </c>
      <c r="O95" s="146">
        <f t="shared" si="37"/>
        <v>2.5122166629096006E-2</v>
      </c>
      <c r="P95" s="156">
        <v>44</v>
      </c>
      <c r="Q95" s="37">
        <f t="shared" si="49"/>
        <v>43.191873118602523</v>
      </c>
      <c r="R95" s="146">
        <f t="shared" si="50"/>
        <v>0.1312484746112984</v>
      </c>
      <c r="S95" s="146">
        <f t="shared" si="29"/>
        <v>2.6829598591925352E-3</v>
      </c>
      <c r="T95" s="146">
        <f t="shared" si="36"/>
        <v>0.11805023380447155</v>
      </c>
    </row>
    <row r="96" spans="1:20" x14ac:dyDescent="0.2">
      <c r="F96" s="15">
        <v>78</v>
      </c>
      <c r="G96" s="37">
        <f t="shared" si="45"/>
        <v>105.7095241231417</v>
      </c>
      <c r="H96" s="146">
        <f t="shared" si="46"/>
        <v>0.42177819629308377</v>
      </c>
      <c r="I96" s="146">
        <f t="shared" si="33"/>
        <v>2.5594297708480318E-2</v>
      </c>
      <c r="J96" s="146">
        <f t="shared" si="34"/>
        <v>1.9963552212614648</v>
      </c>
      <c r="K96" s="156">
        <v>19.5</v>
      </c>
      <c r="L96" s="37">
        <f t="shared" si="47"/>
        <v>21.727741002141457</v>
      </c>
      <c r="M96" s="146">
        <f t="shared" si="48"/>
        <v>3.3688040097082518E-2</v>
      </c>
      <c r="N96" s="146">
        <f t="shared" si="27"/>
        <v>1.3460529540293351E-3</v>
      </c>
      <c r="O96" s="146">
        <f t="shared" si="37"/>
        <v>2.6248032603572034E-2</v>
      </c>
      <c r="P96" s="156">
        <v>44.5</v>
      </c>
      <c r="Q96" s="37">
        <f t="shared" si="49"/>
        <v>43.725505559543123</v>
      </c>
      <c r="R96" s="146">
        <f t="shared" si="50"/>
        <v>0.13396461365810783</v>
      </c>
      <c r="S96" s="146">
        <f t="shared" si="29"/>
        <v>2.7161390468094238E-3</v>
      </c>
      <c r="T96" s="146">
        <f t="shared" si="36"/>
        <v>0.12086818758301936</v>
      </c>
    </row>
    <row r="97" spans="6:20" x14ac:dyDescent="0.2">
      <c r="F97" s="122">
        <v>80</v>
      </c>
      <c r="G97" s="37">
        <f t="shared" si="45"/>
        <v>113.070126662541</v>
      </c>
      <c r="H97" s="146">
        <f t="shared" si="46"/>
        <v>0.44910674266492873</v>
      </c>
      <c r="I97" s="146">
        <f t="shared" si="33"/>
        <v>2.7328546371844953E-2</v>
      </c>
      <c r="J97" s="146">
        <f t="shared" si="34"/>
        <v>2.1862837097475962</v>
      </c>
      <c r="K97" s="156">
        <v>20</v>
      </c>
      <c r="L97" s="37">
        <f t="shared" si="47"/>
        <v>22.110172454845447</v>
      </c>
      <c r="M97" s="146">
        <f t="shared" si="48"/>
        <v>3.5057970629403967E-2</v>
      </c>
      <c r="N97" s="146">
        <f t="shared" si="27"/>
        <v>1.3699305323214492E-3</v>
      </c>
      <c r="O97" s="146">
        <f t="shared" si="37"/>
        <v>2.7398610646428984E-2</v>
      </c>
      <c r="P97" s="156">
        <v>45</v>
      </c>
      <c r="Q97" s="37">
        <f t="shared" si="49"/>
        <v>44.264780533755996</v>
      </c>
      <c r="R97" s="146">
        <f t="shared" si="50"/>
        <v>0.13671428035658018</v>
      </c>
      <c r="S97" s="146">
        <f t="shared" si="29"/>
        <v>2.7496666984723472E-3</v>
      </c>
      <c r="T97" s="146">
        <f t="shared" si="36"/>
        <v>0.12373500143125563</v>
      </c>
    </row>
    <row r="98" spans="6:20" x14ac:dyDescent="0.2">
      <c r="F98" s="15">
        <v>82</v>
      </c>
      <c r="G98" s="37">
        <f t="shared" si="45"/>
        <v>121.45038331451023</v>
      </c>
      <c r="H98" s="146">
        <f t="shared" si="46"/>
        <v>0.47839801788961372</v>
      </c>
      <c r="I98" s="146">
        <f t="shared" si="33"/>
        <v>2.9291275224684998E-2</v>
      </c>
      <c r="J98" s="146">
        <f t="shared" si="34"/>
        <v>2.4018845684241699</v>
      </c>
      <c r="K98" s="155">
        <v>20.5</v>
      </c>
      <c r="L98" s="37">
        <f t="shared" si="47"/>
        <v>22.493478214929283</v>
      </c>
      <c r="M98" s="146">
        <f t="shared" si="48"/>
        <v>3.6451829871511035E-2</v>
      </c>
      <c r="N98" s="146">
        <f t="shared" si="27"/>
        <v>1.3938592421070678E-3</v>
      </c>
      <c r="O98" s="146">
        <f t="shared" si="37"/>
        <v>2.857411446319489E-2</v>
      </c>
      <c r="P98" s="156">
        <v>45.5</v>
      </c>
      <c r="Q98" s="37">
        <f t="shared" si="49"/>
        <v>44.809835197054099</v>
      </c>
      <c r="R98" s="146">
        <f t="shared" si="50"/>
        <v>0.13949783163246807</v>
      </c>
      <c r="S98" s="146">
        <f t="shared" si="29"/>
        <v>2.7835512758878911E-3</v>
      </c>
      <c r="T98" s="146">
        <f t="shared" si="36"/>
        <v>0.12665158305289903</v>
      </c>
    </row>
    <row r="99" spans="6:20" x14ac:dyDescent="0.2">
      <c r="F99" s="122">
        <v>84</v>
      </c>
      <c r="G99" s="37">
        <f t="shared" si="45"/>
        <v>131.13002888925891</v>
      </c>
      <c r="H99" s="146">
        <f t="shared" si="46"/>
        <v>0.50993988229804454</v>
      </c>
      <c r="I99" s="146">
        <f t="shared" si="33"/>
        <v>3.154186440843082E-2</v>
      </c>
      <c r="J99" s="146">
        <f t="shared" si="34"/>
        <v>2.6495166103081891</v>
      </c>
      <c r="K99" s="155">
        <v>21</v>
      </c>
      <c r="L99" s="37">
        <f t="shared" si="47"/>
        <v>22.877767320860681</v>
      </c>
      <c r="M99" s="146">
        <f t="shared" si="48"/>
        <v>3.7869675895171685E-2</v>
      </c>
      <c r="N99" s="146">
        <f t="shared" si="27"/>
        <v>1.4178460236606502E-3</v>
      </c>
      <c r="O99" s="146">
        <f t="shared" si="37"/>
        <v>2.9774766496873654E-2</v>
      </c>
      <c r="P99" s="156">
        <v>46</v>
      </c>
      <c r="Q99" s="37">
        <f t="shared" si="49"/>
        <v>45.36081037597463</v>
      </c>
      <c r="R99" s="146">
        <f t="shared" si="50"/>
        <v>0.14231563309762313</v>
      </c>
      <c r="S99" s="146">
        <f t="shared" si="29"/>
        <v>2.817801465155062E-3</v>
      </c>
      <c r="T99" s="146">
        <f t="shared" si="36"/>
        <v>0.12961886739713285</v>
      </c>
    </row>
    <row r="100" spans="6:20" x14ac:dyDescent="0.2">
      <c r="F100" s="15">
        <v>86</v>
      </c>
      <c r="G100" s="37">
        <f t="shared" si="45"/>
        <v>142.51332597758469</v>
      </c>
      <c r="H100" s="146">
        <f t="shared" si="46"/>
        <v>0.54410444902718069</v>
      </c>
      <c r="I100" s="146">
        <f t="shared" si="33"/>
        <v>3.4164566729136148E-2</v>
      </c>
      <c r="J100" s="146">
        <f t="shared" si="34"/>
        <v>2.9381527387057087</v>
      </c>
      <c r="K100" s="156">
        <v>21.5</v>
      </c>
      <c r="L100" s="37">
        <f t="shared" si="47"/>
        <v>23.263145163043696</v>
      </c>
      <c r="M100" s="146">
        <f t="shared" si="48"/>
        <v>3.9311573470878367E-2</v>
      </c>
      <c r="N100" s="146">
        <f t="shared" si="27"/>
        <v>1.4418975757066813E-3</v>
      </c>
      <c r="O100" s="146">
        <f t="shared" si="37"/>
        <v>3.1000797877693647E-2</v>
      </c>
      <c r="P100" s="156">
        <v>46.5</v>
      </c>
      <c r="Q100" s="37">
        <f t="shared" si="49"/>
        <v>45.917850734409505</v>
      </c>
      <c r="R100" s="146">
        <f t="shared" si="50"/>
        <v>0.14516805928458656</v>
      </c>
      <c r="S100" s="146">
        <f t="shared" si="29"/>
        <v>2.852426186963436E-3</v>
      </c>
      <c r="T100" s="146">
        <f t="shared" si="36"/>
        <v>0.13263781769379979</v>
      </c>
    </row>
    <row r="101" spans="6:20" x14ac:dyDescent="0.2">
      <c r="F101" s="122">
        <v>88</v>
      </c>
      <c r="G101" s="37">
        <f t="shared" si="45"/>
        <v>156.21282880258283</v>
      </c>
      <c r="H101" s="146">
        <f t="shared" si="46"/>
        <v>0.58138857887171436</v>
      </c>
      <c r="I101" s="146">
        <f t="shared" si="33"/>
        <v>3.7284129844533664E-2</v>
      </c>
      <c r="J101" s="146">
        <f t="shared" si="34"/>
        <v>3.2810034263189625</v>
      </c>
      <c r="K101" s="156">
        <v>22</v>
      </c>
      <c r="L101" s="37">
        <f t="shared" si="47"/>
        <v>23.649713880915154</v>
      </c>
      <c r="M101" s="146">
        <f t="shared" si="48"/>
        <v>4.077759385246818E-2</v>
      </c>
      <c r="N101" s="146">
        <f t="shared" si="27"/>
        <v>1.4660203815898137E-3</v>
      </c>
      <c r="O101" s="146">
        <f t="shared" si="37"/>
        <v>3.2252448394975902E-2</v>
      </c>
      <c r="P101" s="156">
        <v>47</v>
      </c>
      <c r="Q101" s="37">
        <f t="shared" si="49"/>
        <v>46.481104947518354</v>
      </c>
      <c r="R101" s="146">
        <f t="shared" si="50"/>
        <v>0.14805549389181893</v>
      </c>
      <c r="S101" s="146">
        <f t="shared" si="29"/>
        <v>2.8874346072323698E-3</v>
      </c>
      <c r="T101" s="146">
        <f t="shared" si="36"/>
        <v>0.13570942653992138</v>
      </c>
    </row>
    <row r="102" spans="6:20" x14ac:dyDescent="0.2">
      <c r="F102" s="15">
        <v>90</v>
      </c>
      <c r="G102" s="37">
        <f t="shared" si="45"/>
        <v>173.21578765781123</v>
      </c>
      <c r="H102" s="146">
        <f t="shared" si="46"/>
        <v>0.62248424150468229</v>
      </c>
      <c r="I102" s="146">
        <f t="shared" si="33"/>
        <v>4.1095662632967933E-2</v>
      </c>
      <c r="J102" s="146">
        <f t="shared" si="34"/>
        <v>3.698609636967114</v>
      </c>
      <c r="K102" s="155">
        <v>22.5</v>
      </c>
      <c r="L102" s="37">
        <f t="shared" si="47"/>
        <v>24.03757272153797</v>
      </c>
      <c r="M102" s="146">
        <f t="shared" si="48"/>
        <v>4.2267814585330556E-2</v>
      </c>
      <c r="N102" s="146">
        <f t="shared" si="27"/>
        <v>1.4902207328623754E-3</v>
      </c>
      <c r="O102" s="146">
        <f t="shared" si="37"/>
        <v>3.3529966489403443E-2</v>
      </c>
      <c r="P102" s="156">
        <v>47.5</v>
      </c>
      <c r="Q102" s="37">
        <f t="shared" si="49"/>
        <v>47.050725883417684</v>
      </c>
      <c r="R102" s="146">
        <f t="shared" si="50"/>
        <v>0.15097833004004141</v>
      </c>
      <c r="S102" s="146">
        <f t="shared" si="29"/>
        <v>2.9228361482224741E-3</v>
      </c>
      <c r="T102" s="146">
        <f t="shared" si="36"/>
        <v>0.13883471704056752</v>
      </c>
    </row>
    <row r="103" spans="6:20" x14ac:dyDescent="0.2">
      <c r="F103" s="122">
        <v>92</v>
      </c>
      <c r="G103" s="37">
        <f t="shared" si="45"/>
        <v>195.25290856414858</v>
      </c>
      <c r="H103" s="146">
        <f t="shared" si="46"/>
        <v>0.66841178554541913</v>
      </c>
      <c r="I103" s="146">
        <f t="shared" si="33"/>
        <v>4.5927544040736845E-2</v>
      </c>
      <c r="J103" s="146">
        <f t="shared" si="34"/>
        <v>4.2253340517477902</v>
      </c>
      <c r="K103" s="155">
        <v>23</v>
      </c>
      <c r="L103" s="37">
        <f t="shared" si="47"/>
        <v>24.426818364605381</v>
      </c>
      <c r="M103" s="146">
        <f t="shared" si="48"/>
        <v>4.378231933595346E-2</v>
      </c>
      <c r="N103" s="146">
        <f t="shared" si="27"/>
        <v>1.514504750622904E-3</v>
      </c>
      <c r="O103" s="146">
        <f t="shared" si="37"/>
        <v>3.4833609264326791E-2</v>
      </c>
      <c r="P103" s="156">
        <v>48</v>
      </c>
      <c r="Q103" s="37">
        <f t="shared" si="49"/>
        <v>47.626870793169402</v>
      </c>
      <c r="R103" s="146">
        <f t="shared" si="50"/>
        <v>0.15393697054018707</v>
      </c>
      <c r="S103" s="146">
        <f t="shared" si="29"/>
        <v>2.9586405001456595E-3</v>
      </c>
      <c r="T103" s="146">
        <f t="shared" si="36"/>
        <v>0.14201474400699166</v>
      </c>
    </row>
    <row r="104" spans="6:20" x14ac:dyDescent="0.2">
      <c r="F104" s="15">
        <v>94</v>
      </c>
      <c r="G104" s="37">
        <f t="shared" si="45"/>
        <v>225.75215830414299</v>
      </c>
      <c r="H104" s="146">
        <f t="shared" si="46"/>
        <v>0.72080476648524328</v>
      </c>
      <c r="I104" s="146">
        <f t="shared" si="33"/>
        <v>5.2392980939824141E-2</v>
      </c>
      <c r="J104" s="146">
        <f t="shared" si="34"/>
        <v>4.924940208343469</v>
      </c>
      <c r="K104" s="156">
        <v>23.5</v>
      </c>
      <c r="L104" s="37">
        <f t="shared" si="47"/>
        <v>24.817545218072695</v>
      </c>
      <c r="M104" s="146">
        <f t="shared" si="48"/>
        <v>4.5321197740844518E-2</v>
      </c>
      <c r="N104" s="146">
        <f t="shared" si="27"/>
        <v>1.5388784048910586E-3</v>
      </c>
      <c r="O104" s="146">
        <f t="shared" si="37"/>
        <v>3.6163642514939878E-2</v>
      </c>
      <c r="P104" s="156">
        <v>48.5</v>
      </c>
      <c r="Q104" s="37">
        <f t="shared" si="49"/>
        <v>48.209701509625738</v>
      </c>
      <c r="R104" s="146">
        <f t="shared" si="50"/>
        <v>0.15693182817350171</v>
      </c>
      <c r="S104" s="146">
        <f t="shared" si="29"/>
        <v>2.9948576333146404E-3</v>
      </c>
      <c r="T104" s="146">
        <f t="shared" si="36"/>
        <v>0.14525059521576006</v>
      </c>
    </row>
    <row r="105" spans="6:20" x14ac:dyDescent="0.2">
      <c r="F105" s="122">
        <v>96</v>
      </c>
      <c r="G105" s="37">
        <f t="shared" si="45"/>
        <v>272.97567252367037</v>
      </c>
      <c r="H105" s="146">
        <f t="shared" si="46"/>
        <v>0.78264179003292444</v>
      </c>
      <c r="I105" s="146">
        <f t="shared" si="33"/>
        <v>6.1837023547681169E-2</v>
      </c>
      <c r="J105" s="146">
        <f t="shared" si="34"/>
        <v>5.9363542605773922</v>
      </c>
      <c r="K105" s="156">
        <v>24</v>
      </c>
      <c r="L105" s="37">
        <f t="shared" si="47"/>
        <v>25.209845688047015</v>
      </c>
      <c r="M105" s="146">
        <f t="shared" si="48"/>
        <v>4.6884545273106655E-2</v>
      </c>
      <c r="N105" s="146">
        <f t="shared" si="27"/>
        <v>1.5633475322621368E-3</v>
      </c>
      <c r="O105" s="146">
        <f t="shared" si="37"/>
        <v>3.7520340774291283E-2</v>
      </c>
      <c r="P105" s="156">
        <v>49</v>
      </c>
      <c r="Q105" s="37">
        <f t="shared" si="49"/>
        <v>48.799384655722641</v>
      </c>
      <c r="R105" s="146">
        <f t="shared" si="50"/>
        <v>0.15996332598436391</v>
      </c>
      <c r="S105" s="146">
        <f t="shared" si="29"/>
        <v>3.0314978108622048E-3</v>
      </c>
      <c r="T105" s="146">
        <f t="shared" si="36"/>
        <v>0.14854339273224804</v>
      </c>
    </row>
    <row r="106" spans="6:20" x14ac:dyDescent="0.2">
      <c r="F106" s="15">
        <v>98</v>
      </c>
      <c r="G106" s="37">
        <f t="shared" si="45"/>
        <v>366.2126363828234</v>
      </c>
      <c r="H106" s="146">
        <f t="shared" si="46"/>
        <v>0.86086397236014089</v>
      </c>
      <c r="I106" s="146">
        <f t="shared" si="33"/>
        <v>7.822218232721645E-2</v>
      </c>
      <c r="J106" s="146">
        <f t="shared" si="34"/>
        <v>7.6657738680672125</v>
      </c>
      <c r="K106" s="155">
        <v>24.5</v>
      </c>
      <c r="L106" s="37">
        <f t="shared" si="47"/>
        <v>25.603810426073643</v>
      </c>
      <c r="M106" s="146">
        <f t="shared" si="48"/>
        <v>4.8472463125160598E-2</v>
      </c>
      <c r="N106" s="146">
        <f t="shared" si="27"/>
        <v>1.5879178520539425E-3</v>
      </c>
      <c r="O106" s="146">
        <f t="shared" si="37"/>
        <v>3.8903987375321594E-2</v>
      </c>
      <c r="P106" s="156">
        <v>49.5</v>
      </c>
      <c r="Q106" s="37">
        <f t="shared" si="49"/>
        <v>49.396091862853979</v>
      </c>
      <c r="R106" s="146">
        <f t="shared" si="50"/>
        <v>0.1630318975864356</v>
      </c>
      <c r="S106" s="146">
        <f t="shared" si="29"/>
        <v>3.0685716020716902E-3</v>
      </c>
      <c r="T106" s="146">
        <f t="shared" si="36"/>
        <v>0.15189429430254867</v>
      </c>
    </row>
    <row r="107" spans="6:20" x14ac:dyDescent="0.2">
      <c r="F107" s="122">
        <v>100</v>
      </c>
      <c r="G107" s="37"/>
      <c r="H107" s="146">
        <v>1</v>
      </c>
      <c r="I107" s="146">
        <f t="shared" si="33"/>
        <v>0.13913602763985911</v>
      </c>
      <c r="J107" s="146">
        <f t="shared" si="34"/>
        <v>13.91360276398591</v>
      </c>
      <c r="K107" s="155">
        <v>25</v>
      </c>
      <c r="L107" s="37">
        <f t="shared" si="47"/>
        <v>25.999528556541673</v>
      </c>
      <c r="M107" s="146">
        <f t="shared" si="48"/>
        <v>5.0085058106288501E-2</v>
      </c>
      <c r="N107" s="146">
        <f t="shared" si="27"/>
        <v>1.6125949811279031E-3</v>
      </c>
      <c r="O107" s="146">
        <f t="shared" si="37"/>
        <v>4.0314874528197576E-2</v>
      </c>
      <c r="P107" s="156">
        <v>50</v>
      </c>
      <c r="Q107" s="37">
        <f t="shared" si="49"/>
        <v>49.999999999999993</v>
      </c>
      <c r="R107" s="146">
        <f t="shared" si="50"/>
        <v>0.16613798748279268</v>
      </c>
      <c r="S107" s="146">
        <f t="shared" si="29"/>
        <v>3.1060898963570782E-3</v>
      </c>
      <c r="T107" s="146">
        <f t="shared" si="36"/>
        <v>0.15530449481785391</v>
      </c>
    </row>
    <row r="108" spans="6:20" x14ac:dyDescent="0.2">
      <c r="I108" s="1" t="s">
        <v>116</v>
      </c>
      <c r="J108" s="3">
        <f>SUM(J58:J107)</f>
        <v>76.308919269052282</v>
      </c>
      <c r="K108" s="122"/>
      <c r="L108" s="37"/>
      <c r="M108" s="146"/>
      <c r="N108" s="146" t="s">
        <v>112</v>
      </c>
      <c r="O108" s="146">
        <f>SUM(O58:O107)</f>
        <v>0.77459637587391028</v>
      </c>
      <c r="Q108" s="18">
        <f>O108+T108</f>
        <v>5.3103742396685796</v>
      </c>
      <c r="R108" s="1" t="s">
        <v>116</v>
      </c>
      <c r="T108" s="18">
        <f>SUM(T58:T107)</f>
        <v>4.5357778637946691</v>
      </c>
    </row>
    <row r="111" spans="6:20" x14ac:dyDescent="0.2">
      <c r="K111" s="122" t="s">
        <v>109</v>
      </c>
      <c r="L111" s="122" t="s">
        <v>115</v>
      </c>
      <c r="M111" s="122" t="s">
        <v>110</v>
      </c>
      <c r="N111" s="122" t="s">
        <v>111</v>
      </c>
      <c r="O111" s="122" t="s">
        <v>113</v>
      </c>
      <c r="P111" s="122" t="s">
        <v>109</v>
      </c>
      <c r="Q111" s="122" t="s">
        <v>115</v>
      </c>
      <c r="R111" s="122" t="s">
        <v>110</v>
      </c>
      <c r="S111" s="122" t="s">
        <v>111</v>
      </c>
      <c r="T111" s="122" t="s">
        <v>113</v>
      </c>
    </row>
    <row r="112" spans="6:20" x14ac:dyDescent="0.2">
      <c r="K112" s="155">
        <v>50.5</v>
      </c>
      <c r="L112" s="37">
        <f t="shared" ref="L112:L143" si="51">_xlfn.LOGNORM.INV(K112/100,H$4,H$7)</f>
        <v>50.61129141433166</v>
      </c>
      <c r="M112" s="146">
        <f t="shared" ref="M112:M143" si="52">_xlfn.LOGNORM.DIST(L112,H$17, H$20,1)</f>
        <v>0.16928205140073158</v>
      </c>
      <c r="N112" s="146">
        <f>M112-R107</f>
        <v>3.1440639179388941E-3</v>
      </c>
      <c r="O112" s="146">
        <f t="shared" ref="O112:O161" si="53">K112*N112</f>
        <v>0.15877522785591414</v>
      </c>
      <c r="P112" s="156">
        <v>75.5</v>
      </c>
      <c r="Q112" s="37">
        <f t="shared" ref="Q112:Q143" si="54">_xlfn.LOGNORM.INV(P112/100,H$4,H$7)</f>
        <v>97.641716541305286</v>
      </c>
      <c r="R112" s="146">
        <f t="shared" ref="R112:R143" si="55">_xlfn.LOGNORM.DIST(Q112,H$17, H$20,1)</f>
        <v>0.39003381930458547</v>
      </c>
      <c r="S112" s="146">
        <f>R112-M161</f>
        <v>6.0559635519181754E-3</v>
      </c>
      <c r="T112" s="146">
        <f>P112*S112</f>
        <v>0.45722524816982224</v>
      </c>
    </row>
    <row r="113" spans="11:20" x14ac:dyDescent="0.2">
      <c r="K113" s="155">
        <v>51</v>
      </c>
      <c r="L113" s="37">
        <f t="shared" si="51"/>
        <v>51.230154184061576</v>
      </c>
      <c r="M113" s="146">
        <f t="shared" si="52"/>
        <v>0.17246455664199162</v>
      </c>
      <c r="N113" s="146">
        <f t="shared" ref="N113:N161" si="56">M113-M112</f>
        <v>3.1825052412600419E-3</v>
      </c>
      <c r="O113" s="146">
        <f t="shared" si="53"/>
        <v>0.16230776730426213</v>
      </c>
      <c r="P113" s="156">
        <v>76</v>
      </c>
      <c r="Q113" s="37">
        <f t="shared" si="54"/>
        <v>99.167604234299205</v>
      </c>
      <c r="R113" s="146">
        <f t="shared" si="55"/>
        <v>0.39618389858460346</v>
      </c>
      <c r="S113" s="146">
        <f>R113-R112</f>
        <v>6.1500792800179838E-3</v>
      </c>
      <c r="T113" s="146">
        <f>P113*S113</f>
        <v>0.46740602528136677</v>
      </c>
    </row>
    <row r="114" spans="11:20" x14ac:dyDescent="0.2">
      <c r="K114" s="156">
        <v>51.5</v>
      </c>
      <c r="L114" s="37">
        <f t="shared" si="51"/>
        <v>51.856782384368003</v>
      </c>
      <c r="M114" s="146">
        <f t="shared" si="52"/>
        <v>0.17568598244918521</v>
      </c>
      <c r="N114" s="146">
        <f t="shared" si="56"/>
        <v>3.2214258071935897E-3</v>
      </c>
      <c r="O114" s="146">
        <f t="shared" si="53"/>
        <v>0.16590342907046987</v>
      </c>
      <c r="P114" s="156">
        <v>76.5</v>
      </c>
      <c r="Q114" s="37">
        <f t="shared" si="54"/>
        <v>100.7351846458788</v>
      </c>
      <c r="R114" s="146">
        <f t="shared" si="55"/>
        <v>0.40243063833762593</v>
      </c>
      <c r="S114" s="146">
        <f t="shared" ref="S114:S161" si="57">R114-R113</f>
        <v>6.2467397530224789E-3</v>
      </c>
      <c r="T114" s="146">
        <f t="shared" ref="T114:T161" si="58">P114*S114</f>
        <v>0.47787559110621963</v>
      </c>
    </row>
    <row r="115" spans="11:20" x14ac:dyDescent="0.2">
      <c r="K115" s="156">
        <v>52</v>
      </c>
      <c r="L115" s="37">
        <f t="shared" si="51"/>
        <v>52.491376367278512</v>
      </c>
      <c r="M115" s="146">
        <f t="shared" si="52"/>
        <v>0.17894682038927956</v>
      </c>
      <c r="N115" s="146">
        <f t="shared" si="56"/>
        <v>3.2608379400943521E-3</v>
      </c>
      <c r="O115" s="146">
        <f t="shared" si="53"/>
        <v>0.16956357288490631</v>
      </c>
      <c r="P115" s="156">
        <v>77</v>
      </c>
      <c r="Q115" s="37">
        <f t="shared" si="54"/>
        <v>102.34652596518728</v>
      </c>
      <c r="R115" s="146">
        <f t="shared" si="55"/>
        <v>0.40877670824747292</v>
      </c>
      <c r="S115" s="146">
        <f t="shared" si="57"/>
        <v>6.3460699098469853E-3</v>
      </c>
      <c r="T115" s="146">
        <f t="shared" si="58"/>
        <v>0.48864738305821787</v>
      </c>
    </row>
    <row r="116" spans="11:20" x14ac:dyDescent="0.2">
      <c r="K116" s="155">
        <v>52.5</v>
      </c>
      <c r="L116" s="37">
        <f t="shared" si="51"/>
        <v>53.134143056464225</v>
      </c>
      <c r="M116" s="146">
        <f t="shared" si="52"/>
        <v>0.18224757475503109</v>
      </c>
      <c r="N116" s="146">
        <f t="shared" si="56"/>
        <v>3.3007543657515293E-3</v>
      </c>
      <c r="O116" s="146">
        <f t="shared" si="53"/>
        <v>0.17328960420195527</v>
      </c>
      <c r="P116" s="156">
        <v>77.5</v>
      </c>
      <c r="Q116" s="37">
        <f t="shared" si="54"/>
        <v>104.00384551972532</v>
      </c>
      <c r="R116" s="146">
        <f t="shared" si="55"/>
        <v>0.4152249118497861</v>
      </c>
      <c r="S116" s="146">
        <f t="shared" si="57"/>
        <v>6.448203602313185E-3</v>
      </c>
      <c r="T116" s="146">
        <f t="shared" si="58"/>
        <v>0.49973577917927181</v>
      </c>
    </row>
    <row r="117" spans="11:20" x14ac:dyDescent="0.2">
      <c r="K117" s="156">
        <v>53</v>
      </c>
      <c r="L117" s="37">
        <f t="shared" si="51"/>
        <v>53.785296257968483</v>
      </c>
      <c r="M117" s="146">
        <f t="shared" si="52"/>
        <v>0.18558876298533866</v>
      </c>
      <c r="N117" s="146">
        <f t="shared" si="56"/>
        <v>3.3411882303075735E-3</v>
      </c>
      <c r="O117" s="146">
        <f t="shared" si="53"/>
        <v>0.1770829762063014</v>
      </c>
      <c r="P117" s="156">
        <v>78</v>
      </c>
      <c r="Q117" s="37">
        <f t="shared" si="54"/>
        <v>105.7095241231417</v>
      </c>
      <c r="R117" s="146">
        <f t="shared" si="55"/>
        <v>0.42177819629308377</v>
      </c>
      <c r="S117" s="146">
        <f t="shared" si="57"/>
        <v>6.5532844432976689E-3</v>
      </c>
      <c r="T117" s="146">
        <f t="shared" si="58"/>
        <v>0.51115618657721817</v>
      </c>
    </row>
    <row r="118" spans="11:20" x14ac:dyDescent="0.2">
      <c r="K118" s="156">
        <v>53.5</v>
      </c>
      <c r="L118" s="37">
        <f t="shared" si="51"/>
        <v>54.445056987969437</v>
      </c>
      <c r="M118" s="146">
        <f t="shared" si="52"/>
        <v>0.18897091610554181</v>
      </c>
      <c r="N118" s="146">
        <f t="shared" si="56"/>
        <v>3.3821531202031518E-3</v>
      </c>
      <c r="O118" s="146">
        <f t="shared" si="53"/>
        <v>0.18094519193086861</v>
      </c>
      <c r="P118" s="156">
        <v>78.5</v>
      </c>
      <c r="Q118" s="37">
        <f t="shared" si="54"/>
        <v>107.46612216354774</v>
      </c>
      <c r="R118" s="146">
        <f t="shared" si="55"/>
        <v>0.42843966304970799</v>
      </c>
      <c r="S118" s="146">
        <f t="shared" si="57"/>
        <v>6.6614667566242125E-3</v>
      </c>
      <c r="T118" s="146">
        <f t="shared" si="58"/>
        <v>0.52292514039500071</v>
      </c>
    </row>
    <row r="119" spans="11:20" x14ac:dyDescent="0.2">
      <c r="K119" s="155">
        <v>54</v>
      </c>
      <c r="L119" s="37">
        <f t="shared" si="51"/>
        <v>55.113653818762579</v>
      </c>
      <c r="M119" s="146">
        <f t="shared" si="52"/>
        <v>0.19239457918876865</v>
      </c>
      <c r="N119" s="146">
        <f t="shared" si="56"/>
        <v>3.4236630832268355E-3</v>
      </c>
      <c r="O119" s="146">
        <f t="shared" si="53"/>
        <v>0.18487780649424912</v>
      </c>
      <c r="P119" s="156">
        <v>79</v>
      </c>
      <c r="Q119" s="37">
        <f t="shared" si="54"/>
        <v>109.27639768940294</v>
      </c>
      <c r="R119" s="146">
        <f t="shared" si="55"/>
        <v>0.43521257969327204</v>
      </c>
      <c r="S119" s="146">
        <f t="shared" si="57"/>
        <v>6.7729166435640531E-3</v>
      </c>
      <c r="T119" s="146">
        <f t="shared" si="58"/>
        <v>0.53506041484156019</v>
      </c>
    </row>
    <row r="120" spans="11:20" x14ac:dyDescent="0.2">
      <c r="K120" s="156">
        <v>54.5</v>
      </c>
      <c r="L120" s="37">
        <f t="shared" si="51"/>
        <v>55.791323244240701</v>
      </c>
      <c r="M120" s="146">
        <f t="shared" si="52"/>
        <v>0.19586031183950886</v>
      </c>
      <c r="N120" s="146">
        <f t="shared" si="56"/>
        <v>3.4657326507402109E-3</v>
      </c>
      <c r="O120" s="146">
        <f t="shared" si="53"/>
        <v>0.18888242946534151</v>
      </c>
      <c r="P120" s="156">
        <v>79.5</v>
      </c>
      <c r="Q120" s="37">
        <f t="shared" si="54"/>
        <v>111.14332679508446</v>
      </c>
      <c r="R120" s="146">
        <f t="shared" si="55"/>
        <v>0.44210039287662822</v>
      </c>
      <c r="S120" s="146">
        <f t="shared" si="57"/>
        <v>6.887813183356184E-3</v>
      </c>
      <c r="T120" s="146">
        <f t="shared" si="58"/>
        <v>0.54758114807681668</v>
      </c>
    </row>
    <row r="121" spans="11:20" x14ac:dyDescent="0.2">
      <c r="K121" s="156">
        <v>55</v>
      </c>
      <c r="L121" s="37">
        <f t="shared" si="51"/>
        <v>56.478310066250479</v>
      </c>
      <c r="M121" s="146">
        <f t="shared" si="52"/>
        <v>0.19936868870067512</v>
      </c>
      <c r="N121" s="146">
        <f t="shared" si="56"/>
        <v>3.5083768611662569E-3</v>
      </c>
      <c r="O121" s="146">
        <f t="shared" si="53"/>
        <v>0.19296072736414413</v>
      </c>
      <c r="P121" s="156">
        <v>80</v>
      </c>
      <c r="Q121" s="37">
        <f t="shared" si="54"/>
        <v>113.070126662541</v>
      </c>
      <c r="R121" s="146">
        <f t="shared" si="55"/>
        <v>0.44910674266492873</v>
      </c>
      <c r="S121" s="146">
        <f t="shared" si="57"/>
        <v>7.0063497883005033E-3</v>
      </c>
      <c r="T121" s="146">
        <f t="shared" si="58"/>
        <v>0.56050798306404026</v>
      </c>
    </row>
    <row r="122" spans="11:20" x14ac:dyDescent="0.2">
      <c r="K122" s="155">
        <v>55.5</v>
      </c>
      <c r="L122" s="37">
        <f t="shared" si="51"/>
        <v>57.174867803315173</v>
      </c>
      <c r="M122" s="146">
        <f t="shared" si="52"/>
        <v>0.20292029998550237</v>
      </c>
      <c r="N122" s="146">
        <f t="shared" si="56"/>
        <v>3.5516112848272552E-3</v>
      </c>
      <c r="O122" s="146">
        <f t="shared" si="53"/>
        <v>0.19711442630791265</v>
      </c>
      <c r="P122" s="156">
        <v>80.5</v>
      </c>
      <c r="Q122" s="37">
        <f t="shared" si="54"/>
        <v>115.06028168108219</v>
      </c>
      <c r="R122" s="146">
        <f t="shared" si="55"/>
        <v>0.45623547840258516</v>
      </c>
      <c r="S122" s="146">
        <f t="shared" si="57"/>
        <v>7.1287357376564331E-3</v>
      </c>
      <c r="T122" s="146">
        <f t="shared" si="58"/>
        <v>0.57386322688134284</v>
      </c>
    </row>
    <row r="123" spans="11:20" x14ac:dyDescent="0.2">
      <c r="K123" s="156">
        <v>56</v>
      </c>
      <c r="L123" s="37">
        <f t="shared" si="51"/>
        <v>57.881259123334061</v>
      </c>
      <c r="M123" s="146">
        <f t="shared" si="52"/>
        <v>0.20651575203573133</v>
      </c>
      <c r="N123" s="146">
        <f t="shared" si="56"/>
        <v>3.5954520502289589E-3</v>
      </c>
      <c r="O123" s="146">
        <f t="shared" si="53"/>
        <v>0.2013453148128217</v>
      </c>
      <c r="P123" s="156">
        <v>81</v>
      </c>
      <c r="Q123" s="37">
        <f t="shared" si="54"/>
        <v>117.11757314713365</v>
      </c>
      <c r="R123" s="146">
        <f t="shared" si="55"/>
        <v>0.46349067632174412</v>
      </c>
      <c r="S123" s="146">
        <f t="shared" si="57"/>
        <v>7.2551979191589622E-3</v>
      </c>
      <c r="T123" s="146">
        <f t="shared" si="58"/>
        <v>0.58767103145187594</v>
      </c>
    </row>
    <row r="124" spans="11:20" x14ac:dyDescent="0.2">
      <c r="K124" s="156">
        <v>56.5</v>
      </c>
      <c r="L124" s="37">
        <f t="shared" si="51"/>
        <v>58.597756302002736</v>
      </c>
      <c r="M124" s="146">
        <f t="shared" si="52"/>
        <v>0.21015566790763374</v>
      </c>
      <c r="N124" s="146">
        <f t="shared" si="56"/>
        <v>3.639915871902405E-3</v>
      </c>
      <c r="O124" s="146">
        <f t="shared" si="53"/>
        <v>0.20565524676248587</v>
      </c>
      <c r="P124" s="156">
        <v>81.5</v>
      </c>
      <c r="Q124" s="37">
        <f t="shared" si="54"/>
        <v>119.24611314316937</v>
      </c>
      <c r="R124" s="146">
        <f t="shared" si="55"/>
        <v>0.47087665913418475</v>
      </c>
      <c r="S124" s="146">
        <f t="shared" si="57"/>
        <v>7.3859828124406279E-3</v>
      </c>
      <c r="T124" s="146">
        <f t="shared" si="58"/>
        <v>0.60195759921391123</v>
      </c>
    </row>
    <row r="125" spans="11:20" x14ac:dyDescent="0.2">
      <c r="K125" s="155">
        <v>57</v>
      </c>
      <c r="L125" s="37">
        <f t="shared" si="51"/>
        <v>59.324641708841625</v>
      </c>
      <c r="M125" s="146">
        <f t="shared" si="52"/>
        <v>0.21384068798753691</v>
      </c>
      <c r="N125" s="146">
        <f t="shared" si="56"/>
        <v>3.6850200799031785E-3</v>
      </c>
      <c r="O125" s="146">
        <f t="shared" si="53"/>
        <v>0.21004614455448117</v>
      </c>
      <c r="P125" s="156">
        <v>82</v>
      </c>
      <c r="Q125" s="37">
        <f t="shared" si="54"/>
        <v>121.45038331451023</v>
      </c>
      <c r="R125" s="146">
        <f t="shared" si="55"/>
        <v>0.47839801788961372</v>
      </c>
      <c r="S125" s="146">
        <f t="shared" si="57"/>
        <v>7.5213587554289751E-3</v>
      </c>
      <c r="T125" s="146">
        <f t="shared" si="58"/>
        <v>0.61675141794517596</v>
      </c>
    </row>
    <row r="126" spans="11:20" x14ac:dyDescent="0.2">
      <c r="K126" s="156">
        <v>57.5</v>
      </c>
      <c r="L126" s="37">
        <f t="shared" si="51"/>
        <v>60.062208322882597</v>
      </c>
      <c r="M126" s="146">
        <f t="shared" si="52"/>
        <v>0.21757147063864371</v>
      </c>
      <c r="N126" s="146">
        <f t="shared" si="56"/>
        <v>3.7307826511067954E-3</v>
      </c>
      <c r="O126" s="146">
        <f t="shared" si="53"/>
        <v>0.21452000243864072</v>
      </c>
      <c r="P126" s="156">
        <v>82.5</v>
      </c>
      <c r="Q126" s="37">
        <f t="shared" si="54"/>
        <v>123.73527941001313</v>
      </c>
      <c r="R126" s="146">
        <f t="shared" si="55"/>
        <v>0.4860596364326833</v>
      </c>
      <c r="S126" s="146">
        <f t="shared" si="57"/>
        <v>7.6616185430695705E-3</v>
      </c>
      <c r="T126" s="146">
        <f t="shared" si="58"/>
        <v>0.63208352980323956</v>
      </c>
    </row>
    <row r="127" spans="11:20" x14ac:dyDescent="0.2">
      <c r="K127" s="156">
        <v>58</v>
      </c>
      <c r="L127" s="37">
        <f t="shared" si="51"/>
        <v>60.810760280236522</v>
      </c>
      <c r="M127" s="146">
        <f t="shared" si="52"/>
        <v>0.22134869288106718</v>
      </c>
      <c r="N127" s="146">
        <f t="shared" si="56"/>
        <v>3.7772222424234669E-3</v>
      </c>
      <c r="O127" s="146">
        <f t="shared" si="53"/>
        <v>0.21907889006056108</v>
      </c>
      <c r="P127" s="156">
        <v>83</v>
      </c>
      <c r="Q127" s="37">
        <f t="shared" si="54"/>
        <v>126.10616263537163</v>
      </c>
      <c r="R127" s="146">
        <f t="shared" si="55"/>
        <v>0.49386671885068528</v>
      </c>
      <c r="S127" s="146">
        <f t="shared" si="57"/>
        <v>7.8070824180019871E-3</v>
      </c>
      <c r="T127" s="146">
        <f t="shared" si="58"/>
        <v>0.64798784069416493</v>
      </c>
    </row>
    <row r="128" spans="11:20" x14ac:dyDescent="0.2">
      <c r="K128" s="155">
        <v>58.5</v>
      </c>
      <c r="L128" s="37">
        <f t="shared" si="51"/>
        <v>61.570613455958068</v>
      </c>
      <c r="M128" s="146">
        <f t="shared" si="52"/>
        <v>0.22517305110714422</v>
      </c>
      <c r="N128" s="146">
        <f t="shared" si="56"/>
        <v>3.8243582260770459E-3</v>
      </c>
      <c r="O128" s="146">
        <f t="shared" si="53"/>
        <v>0.2237249562255072</v>
      </c>
      <c r="P128" s="156">
        <v>83.5</v>
      </c>
      <c r="Q128" s="37">
        <f t="shared" si="54"/>
        <v>128.56891909560966</v>
      </c>
      <c r="R128" s="146">
        <f t="shared" si="55"/>
        <v>0.50182482037628739</v>
      </c>
      <c r="S128" s="146">
        <f t="shared" si="57"/>
        <v>7.9581015256021126E-3</v>
      </c>
      <c r="T128" s="146">
        <f t="shared" si="58"/>
        <v>0.66450147738777643</v>
      </c>
    </row>
    <row r="129" spans="11:20" x14ac:dyDescent="0.2">
      <c r="K129" s="156">
        <v>59</v>
      </c>
      <c r="L129" s="37">
        <f t="shared" si="51"/>
        <v>62.342096082837195</v>
      </c>
      <c r="M129" s="146">
        <f t="shared" si="52"/>
        <v>0.22904526183425891</v>
      </c>
      <c r="N129" s="146">
        <f t="shared" si="56"/>
        <v>3.8722107271146888E-3</v>
      </c>
      <c r="O129" s="146">
        <f t="shared" si="53"/>
        <v>0.22846043289976664</v>
      </c>
      <c r="P129" s="156">
        <v>84</v>
      </c>
      <c r="Q129" s="37">
        <f t="shared" si="54"/>
        <v>131.13002888925891</v>
      </c>
      <c r="R129" s="146">
        <f t="shared" si="55"/>
        <v>0.50993988229804454</v>
      </c>
      <c r="S129" s="146">
        <f t="shared" si="57"/>
        <v>8.1150619217571496E-3</v>
      </c>
      <c r="T129" s="146">
        <f t="shared" si="58"/>
        <v>0.68166520142760056</v>
      </c>
    </row>
    <row r="130" spans="11:20" x14ac:dyDescent="0.2">
      <c r="K130" s="156">
        <v>59.5</v>
      </c>
      <c r="L130" s="37">
        <f t="shared" si="51"/>
        <v>63.125549409978753</v>
      </c>
      <c r="M130" s="146">
        <f t="shared" si="52"/>
        <v>0.23296606249756516</v>
      </c>
      <c r="N130" s="146">
        <f t="shared" si="56"/>
        <v>3.9208006633062453E-3</v>
      </c>
      <c r="O130" s="146">
        <f t="shared" si="53"/>
        <v>0.2332876394667216</v>
      </c>
      <c r="P130" s="156">
        <v>84.5</v>
      </c>
      <c r="Q130" s="37">
        <f t="shared" si="54"/>
        <v>133.79664677779252</v>
      </c>
      <c r="R130" s="146">
        <f t="shared" si="55"/>
        <v>0.51821827153991618</v>
      </c>
      <c r="S130" s="146">
        <f t="shared" si="57"/>
        <v>8.2783892418716309E-3</v>
      </c>
      <c r="T130" s="146">
        <f t="shared" si="58"/>
        <v>0.69952389093815281</v>
      </c>
    </row>
    <row r="131" spans="11:20" x14ac:dyDescent="0.2">
      <c r="K131" s="155">
        <v>60</v>
      </c>
      <c r="L131" s="37">
        <f t="shared" si="51"/>
        <v>63.921328404291408</v>
      </c>
      <c r="M131" s="146">
        <f t="shared" si="52"/>
        <v>0.23693621228519759</v>
      </c>
      <c r="N131" s="146">
        <f t="shared" si="56"/>
        <v>3.9701497876324376E-3</v>
      </c>
      <c r="O131" s="146">
        <f t="shared" si="53"/>
        <v>0.23820898725794626</v>
      </c>
      <c r="P131" s="156">
        <v>85</v>
      </c>
      <c r="Q131" s="37">
        <f t="shared" si="54"/>
        <v>136.57669681301556</v>
      </c>
      <c r="R131" s="146">
        <f t="shared" si="55"/>
        <v>0.52666682570498957</v>
      </c>
      <c r="S131" s="146">
        <f t="shared" si="57"/>
        <v>8.4485541650733964E-3</v>
      </c>
      <c r="T131" s="146">
        <f t="shared" si="58"/>
        <v>0.71812710403123869</v>
      </c>
    </row>
    <row r="132" spans="11:20" x14ac:dyDescent="0.2">
      <c r="K132" s="156">
        <v>60.5</v>
      </c>
      <c r="L132" s="37">
        <f t="shared" si="51"/>
        <v>64.729802498289871</v>
      </c>
      <c r="M132" s="146">
        <f t="shared" si="52"/>
        <v>0.24095649301874994</v>
      </c>
      <c r="N132" s="146">
        <f t="shared" si="56"/>
        <v>4.0202807335523449E-3</v>
      </c>
      <c r="O132" s="146">
        <f t="shared" si="53"/>
        <v>0.24322698437991686</v>
      </c>
      <c r="P132" s="156">
        <v>85.5</v>
      </c>
      <c r="Q132" s="37">
        <f t="shared" si="54"/>
        <v>139.47898389318718</v>
      </c>
      <c r="R132" s="146">
        <f t="shared" si="55"/>
        <v>0.53529290454521261</v>
      </c>
      <c r="S132" s="146">
        <f t="shared" si="57"/>
        <v>8.6260788402230393E-3</v>
      </c>
      <c r="T132" s="146">
        <f t="shared" si="58"/>
        <v>0.73752974083906986</v>
      </c>
    </row>
    <row r="133" spans="11:20" x14ac:dyDescent="0.2">
      <c r="K133" s="156">
        <v>61</v>
      </c>
      <c r="L133" s="37">
        <f t="shared" si="51"/>
        <v>65.551356387931932</v>
      </c>
      <c r="M133" s="146">
        <f t="shared" si="52"/>
        <v>0.24502771008203983</v>
      </c>
      <c r="N133" s="146">
        <f t="shared" si="56"/>
        <v>4.0712170632898892E-3</v>
      </c>
      <c r="O133" s="146">
        <f t="shared" si="53"/>
        <v>0.24834424086068324</v>
      </c>
      <c r="P133" s="156">
        <v>86</v>
      </c>
      <c r="Q133" s="37">
        <f t="shared" si="54"/>
        <v>142.51332597758469</v>
      </c>
      <c r="R133" s="146">
        <f t="shared" si="55"/>
        <v>0.54410444902718069</v>
      </c>
      <c r="S133" s="146">
        <f t="shared" si="57"/>
        <v>8.811544481968081E-3</v>
      </c>
      <c r="T133" s="146">
        <f t="shared" si="58"/>
        <v>0.75779282544925497</v>
      </c>
    </row>
    <row r="134" spans="11:20" x14ac:dyDescent="0.2">
      <c r="K134" s="155">
        <v>61.5</v>
      </c>
      <c r="L134" s="37">
        <f t="shared" si="51"/>
        <v>66.386390884557059</v>
      </c>
      <c r="M134" s="146">
        <f t="shared" si="52"/>
        <v>0.24915069340140183</v>
      </c>
      <c r="N134" s="146">
        <f t="shared" si="56"/>
        <v>4.1229833193620058E-3</v>
      </c>
      <c r="O134" s="146">
        <f t="shared" si="53"/>
        <v>0.25356347414076336</v>
      </c>
      <c r="P134" s="156">
        <v>86.5</v>
      </c>
      <c r="Q134" s="37">
        <f t="shared" si="54"/>
        <v>145.69071167689637</v>
      </c>
      <c r="R134" s="146">
        <f t="shared" si="55"/>
        <v>0.55311004942673858</v>
      </c>
      <c r="S134" s="146">
        <f t="shared" si="57"/>
        <v>9.0056003995578893E-3</v>
      </c>
      <c r="T134" s="146">
        <f t="shared" si="58"/>
        <v>0.77898443456175737</v>
      </c>
    </row>
    <row r="135" spans="11:20" x14ac:dyDescent="0.2">
      <c r="K135" s="156">
        <v>62</v>
      </c>
      <c r="L135" s="37">
        <f t="shared" si="51"/>
        <v>67.235323825383134</v>
      </c>
      <c r="M135" s="146">
        <f t="shared" si="52"/>
        <v>0.25332629848103622</v>
      </c>
      <c r="N135" s="146">
        <f t="shared" si="56"/>
        <v>4.1756050796343813E-3</v>
      </c>
      <c r="O135" s="146">
        <f t="shared" si="53"/>
        <v>0.25888751493733164</v>
      </c>
      <c r="P135" s="156">
        <v>87</v>
      </c>
      <c r="Q135" s="37">
        <f t="shared" si="54"/>
        <v>149.02348923326048</v>
      </c>
      <c r="R135" s="146">
        <f t="shared" si="55"/>
        <v>0.56231902421858071</v>
      </c>
      <c r="S135" s="146">
        <f t="shared" si="57"/>
        <v>9.2089747918421283E-3</v>
      </c>
      <c r="T135" s="146">
        <f t="shared" si="58"/>
        <v>0.80118080689026516</v>
      </c>
    </row>
    <row r="136" spans="11:20" x14ac:dyDescent="0.2">
      <c r="K136" s="156">
        <v>62.5</v>
      </c>
      <c r="L136" s="37">
        <f t="shared" si="51"/>
        <v>68.09859104744335</v>
      </c>
      <c r="M136" s="146">
        <f t="shared" si="52"/>
        <v>0.25755540749721606</v>
      </c>
      <c r="N136" s="146">
        <f t="shared" si="56"/>
        <v>4.2291090161798439E-3</v>
      </c>
      <c r="O136" s="146">
        <f t="shared" si="53"/>
        <v>0.26431931351124027</v>
      </c>
      <c r="P136" s="156">
        <v>87.5</v>
      </c>
      <c r="Q136" s="37">
        <f t="shared" si="54"/>
        <v>152.52559462156538</v>
      </c>
      <c r="R136" s="146">
        <f t="shared" si="55"/>
        <v>0.57174151195402922</v>
      </c>
      <c r="S136" s="146">
        <f t="shared" si="57"/>
        <v>9.4224877354485148E-3</v>
      </c>
      <c r="T136" s="146">
        <f t="shared" si="58"/>
        <v>0.82446767685174505</v>
      </c>
    </row>
    <row r="137" spans="11:20" x14ac:dyDescent="0.2">
      <c r="K137" s="155">
        <v>63</v>
      </c>
      <c r="L137" s="37">
        <f t="shared" si="51"/>
        <v>68.976647430324874</v>
      </c>
      <c r="M137" s="146">
        <f t="shared" si="52"/>
        <v>0.26183893045549028</v>
      </c>
      <c r="N137" s="146">
        <f t="shared" si="56"/>
        <v>4.2835229582742218E-3</v>
      </c>
      <c r="O137" s="146">
        <f t="shared" si="53"/>
        <v>0.26986194637127597</v>
      </c>
      <c r="P137" s="156">
        <v>88</v>
      </c>
      <c r="Q137" s="37">
        <f t="shared" si="54"/>
        <v>156.21282880258283</v>
      </c>
      <c r="R137" s="146">
        <f t="shared" si="55"/>
        <v>0.58138857887171436</v>
      </c>
      <c r="S137" s="146">
        <f t="shared" si="57"/>
        <v>9.647066917685132E-3</v>
      </c>
      <c r="T137" s="146">
        <f t="shared" si="58"/>
        <v>0.84894188875629162</v>
      </c>
    </row>
    <row r="138" spans="11:20" x14ac:dyDescent="0.2">
      <c r="K138" s="156">
        <v>63.5</v>
      </c>
      <c r="L138" s="37">
        <f t="shared" si="51"/>
        <v>69.869968013597813</v>
      </c>
      <c r="M138" s="146">
        <f t="shared" si="52"/>
        <v>0.26617780641535638</v>
      </c>
      <c r="N138" s="146">
        <f t="shared" si="56"/>
        <v>4.3388759598660953E-3</v>
      </c>
      <c r="O138" s="146">
        <f t="shared" si="53"/>
        <v>0.27551862345149702</v>
      </c>
      <c r="P138" s="156">
        <v>88.5</v>
      </c>
      <c r="Q138" s="37">
        <f t="shared" si="54"/>
        <v>160.10319726846865</v>
      </c>
      <c r="R138" s="146">
        <f t="shared" si="55"/>
        <v>0.591272345704972</v>
      </c>
      <c r="S138" s="146">
        <f t="shared" si="57"/>
        <v>9.8837668332576456E-3</v>
      </c>
      <c r="T138" s="146">
        <f t="shared" si="58"/>
        <v>0.87471336474330164</v>
      </c>
    </row>
    <row r="139" spans="11:20" x14ac:dyDescent="0.2">
      <c r="K139" s="156">
        <v>64</v>
      </c>
      <c r="L139" s="37">
        <f t="shared" si="51"/>
        <v>70.779049195416292</v>
      </c>
      <c r="M139" s="146">
        <f t="shared" si="52"/>
        <v>0.27057300478727503</v>
      </c>
      <c r="N139" s="146">
        <f t="shared" si="56"/>
        <v>4.3951983719186516E-3</v>
      </c>
      <c r="O139" s="146">
        <f t="shared" si="53"/>
        <v>0.2812926958027937</v>
      </c>
      <c r="P139" s="156">
        <v>89</v>
      </c>
      <c r="Q139" s="37">
        <f t="shared" si="54"/>
        <v>164.21732927728596</v>
      </c>
      <c r="R139" s="146">
        <f t="shared" si="55"/>
        <v>0.60140613809701815</v>
      </c>
      <c r="S139" s="146">
        <f t="shared" si="57"/>
        <v>1.0133792392046148E-2</v>
      </c>
      <c r="T139" s="146">
        <f t="shared" si="58"/>
        <v>0.90190752289210718</v>
      </c>
    </row>
    <row r="140" spans="11:20" x14ac:dyDescent="0.2">
      <c r="K140" s="155">
        <v>64.5</v>
      </c>
      <c r="L140" s="37">
        <f t="shared" si="51"/>
        <v>71.704410019430952</v>
      </c>
      <c r="M140" s="146">
        <f t="shared" si="52"/>
        <v>0.27502552670731811</v>
      </c>
      <c r="N140" s="146">
        <f t="shared" si="56"/>
        <v>4.4525219200430843E-3</v>
      </c>
      <c r="O140" s="146">
        <f t="shared" si="53"/>
        <v>0.28718766384277894</v>
      </c>
      <c r="P140" s="156">
        <v>89.5</v>
      </c>
      <c r="Q140" s="37">
        <f t="shared" si="54"/>
        <v>168.57900007119022</v>
      </c>
      <c r="R140" s="146">
        <f t="shared" si="55"/>
        <v>0.611804666296347</v>
      </c>
      <c r="S140" s="146">
        <f t="shared" si="57"/>
        <v>1.0398528199328849E-2</v>
      </c>
      <c r="T140" s="146">
        <f t="shared" si="58"/>
        <v>0.930668273839932</v>
      </c>
    </row>
    <row r="141" spans="11:20" x14ac:dyDescent="0.2">
      <c r="K141" s="156">
        <v>65</v>
      </c>
      <c r="L141" s="37">
        <f t="shared" si="51"/>
        <v>72.646593557889162</v>
      </c>
      <c r="M141" s="146">
        <f t="shared" si="52"/>
        <v>0.27953640649521116</v>
      </c>
      <c r="N141" s="146">
        <f t="shared" si="56"/>
        <v>4.5108797878930518E-3</v>
      </c>
      <c r="O141" s="146">
        <f t="shared" si="53"/>
        <v>0.29320718621304837</v>
      </c>
      <c r="P141" s="156">
        <v>90</v>
      </c>
      <c r="Q141" s="37">
        <f t="shared" si="54"/>
        <v>173.21578765781123</v>
      </c>
      <c r="R141" s="146">
        <f t="shared" si="55"/>
        <v>0.62248424150468229</v>
      </c>
      <c r="S141" s="146">
        <f t="shared" si="57"/>
        <v>1.067957520833529E-2</v>
      </c>
      <c r="T141" s="146">
        <f t="shared" si="58"/>
        <v>0.96116176875017612</v>
      </c>
    </row>
    <row r="142" spans="11:20" x14ac:dyDescent="0.2">
      <c r="K142" s="156">
        <v>65.5</v>
      </c>
      <c r="L142" s="37">
        <f t="shared" si="51"/>
        <v>73.60616839962357</v>
      </c>
      <c r="M142" s="146">
        <f t="shared" si="52"/>
        <v>0.28410671320205039</v>
      </c>
      <c r="N142" s="146">
        <f t="shared" si="56"/>
        <v>4.5703067068392222E-3</v>
      </c>
      <c r="O142" s="146">
        <f t="shared" si="53"/>
        <v>0.29935508929796906</v>
      </c>
      <c r="P142" s="156">
        <v>90.5</v>
      </c>
      <c r="Q142" s="37">
        <f t="shared" si="54"/>
        <v>178.1599075451864</v>
      </c>
      <c r="R142" s="146">
        <f t="shared" si="55"/>
        <v>0.63346303857041841</v>
      </c>
      <c r="S142" s="146">
        <f t="shared" si="57"/>
        <v>1.0978797065736123E-2</v>
      </c>
      <c r="T142" s="146">
        <f t="shared" si="58"/>
        <v>0.99358113444911922</v>
      </c>
    </row>
    <row r="143" spans="11:20" x14ac:dyDescent="0.2">
      <c r="K143" s="155">
        <v>66</v>
      </c>
      <c r="L143" s="37">
        <f t="shared" si="51"/>
        <v>74.583730252552471</v>
      </c>
      <c r="M143" s="146">
        <f t="shared" si="52"/>
        <v>0.28873755225454273</v>
      </c>
      <c r="N143" s="146">
        <f t="shared" si="56"/>
        <v>4.6308390524923415E-3</v>
      </c>
      <c r="O143" s="146">
        <f t="shared" si="53"/>
        <v>0.30563537746449454</v>
      </c>
      <c r="P143" s="156">
        <v>91</v>
      </c>
      <c r="Q143" s="37">
        <f t="shared" si="54"/>
        <v>183.44928593146386</v>
      </c>
      <c r="R143" s="146">
        <f t="shared" si="55"/>
        <v>0.6447614179333796</v>
      </c>
      <c r="S143" s="146">
        <f t="shared" si="57"/>
        <v>1.1298379362961186E-2</v>
      </c>
      <c r="T143" s="146">
        <f t="shared" si="58"/>
        <v>1.0281525220294681</v>
      </c>
    </row>
    <row r="144" spans="11:20" x14ac:dyDescent="0.2">
      <c r="K144" s="156">
        <v>66.5</v>
      </c>
      <c r="L144" s="37">
        <f t="shared" ref="L144:L161" si="59">_xlfn.LOGNORM.INV(K144/100,H$4,H$7)</f>
        <v>75.579903671354884</v>
      </c>
      <c r="M144" s="146">
        <f t="shared" ref="M144:M161" si="60">_xlfn.LOGNORM.DIST(L144,H$17, H$20,1)</f>
        <v>0.29343006720325993</v>
      </c>
      <c r="N144" s="146">
        <f t="shared" si="56"/>
        <v>4.6925149487171969E-3</v>
      </c>
      <c r="O144" s="146">
        <f t="shared" si="53"/>
        <v>0.31205224408969356</v>
      </c>
      <c r="P144" s="156">
        <v>91.5</v>
      </c>
      <c r="Q144" s="37">
        <f t="shared" ref="Q144:Q160" si="61">_xlfn.LOGNORM.INV(P144/100,H$4,H$7)</f>
        <v>189.12895708202078</v>
      </c>
      <c r="R144" s="146">
        <f t="shared" ref="R144:R160" si="62">_xlfn.LOGNORM.DIST(Q144,H$17, H$20,1)</f>
        <v>0.65640232424448841</v>
      </c>
      <c r="S144" s="146">
        <f t="shared" si="57"/>
        <v>1.1640906311108812E-2</v>
      </c>
      <c r="T144" s="146">
        <f t="shared" si="58"/>
        <v>1.0651429274664563</v>
      </c>
    </row>
    <row r="145" spans="11:20" x14ac:dyDescent="0.2">
      <c r="K145" s="156">
        <v>67</v>
      </c>
      <c r="L145" s="37">
        <f t="shared" si="59"/>
        <v>76.595343922145418</v>
      </c>
      <c r="M145" s="146">
        <f t="shared" si="60"/>
        <v>0.29818544158308224</v>
      </c>
      <c r="N145" s="146">
        <f t="shared" si="56"/>
        <v>4.7553743798223191E-3</v>
      </c>
      <c r="O145" s="146">
        <f t="shared" si="53"/>
        <v>0.31861008344809538</v>
      </c>
      <c r="P145" s="156">
        <v>92</v>
      </c>
      <c r="Q145" s="37">
        <f t="shared" si="61"/>
        <v>195.25290856414858</v>
      </c>
      <c r="R145" s="146">
        <f t="shared" si="62"/>
        <v>0.66841178554541913</v>
      </c>
      <c r="S145" s="146">
        <f t="shared" si="57"/>
        <v>1.2009461300930724E-2</v>
      </c>
      <c r="T145" s="146">
        <f t="shared" si="58"/>
        <v>1.1048704396856266</v>
      </c>
    </row>
    <row r="146" spans="11:20" x14ac:dyDescent="0.2">
      <c r="K146" s="155">
        <v>67.5</v>
      </c>
      <c r="L146" s="37">
        <f t="shared" si="59"/>
        <v>77.630738997292482</v>
      </c>
      <c r="M146" s="146">
        <f t="shared" si="60"/>
        <v>0.30300490089481036</v>
      </c>
      <c r="N146" s="146">
        <f t="shared" si="56"/>
        <v>4.8194593117281137E-3</v>
      </c>
      <c r="O146" s="146">
        <f t="shared" si="53"/>
        <v>0.32531350354164768</v>
      </c>
      <c r="P146" s="156">
        <v>92.5</v>
      </c>
      <c r="Q146" s="37">
        <f t="shared" si="61"/>
        <v>201.88655629547944</v>
      </c>
      <c r="R146" s="146">
        <f t="shared" si="62"/>
        <v>0.68081954631090791</v>
      </c>
      <c r="S146" s="146">
        <f t="shared" si="57"/>
        <v>1.2407760765488773E-2</v>
      </c>
      <c r="T146" s="146">
        <f t="shared" si="58"/>
        <v>1.1477178708077116</v>
      </c>
    </row>
    <row r="147" spans="11:20" x14ac:dyDescent="0.2">
      <c r="K147" s="156">
        <v>68</v>
      </c>
      <c r="L147" s="37">
        <f t="shared" si="59"/>
        <v>78.686811795001162</v>
      </c>
      <c r="M147" s="146">
        <f t="shared" si="60"/>
        <v>0.30788971471776777</v>
      </c>
      <c r="N147" s="146">
        <f t="shared" si="56"/>
        <v>4.8848138229574123E-3</v>
      </c>
      <c r="O147" s="146">
        <f t="shared" si="53"/>
        <v>0.33216733996110404</v>
      </c>
      <c r="P147" s="156">
        <v>93</v>
      </c>
      <c r="Q147" s="37">
        <f t="shared" si="61"/>
        <v>209.11012308877017</v>
      </c>
      <c r="R147" s="146">
        <f t="shared" si="62"/>
        <v>0.69365988167337622</v>
      </c>
      <c r="S147" s="146">
        <f t="shared" si="57"/>
        <v>1.2840335362468314E-2</v>
      </c>
      <c r="T147" s="146">
        <f t="shared" si="58"/>
        <v>1.1941511887095531</v>
      </c>
    </row>
    <row r="148" spans="11:20" x14ac:dyDescent="0.2">
      <c r="K148" s="156">
        <v>68.5</v>
      </c>
      <c r="L148" s="37">
        <f t="shared" si="59"/>
        <v>79.764322479960427</v>
      </c>
      <c r="M148" s="146">
        <f t="shared" si="60"/>
        <v>0.31284119896419765</v>
      </c>
      <c r="N148" s="146">
        <f t="shared" si="56"/>
        <v>4.9514842464298825E-3</v>
      </c>
      <c r="O148" s="146">
        <f t="shared" si="53"/>
        <v>0.33917667088044695</v>
      </c>
      <c r="P148" s="156">
        <v>93.5</v>
      </c>
      <c r="Q148" s="37">
        <f t="shared" si="61"/>
        <v>217.02334267017733</v>
      </c>
      <c r="R148" s="146">
        <f t="shared" si="62"/>
        <v>0.70697266150877569</v>
      </c>
      <c r="S148" s="146">
        <f t="shared" si="57"/>
        <v>1.3312779835399469E-2</v>
      </c>
      <c r="T148" s="146">
        <f t="shared" si="58"/>
        <v>1.2447449146098504</v>
      </c>
    </row>
    <row r="149" spans="11:20" x14ac:dyDescent="0.2">
      <c r="K149" s="155">
        <v>69</v>
      </c>
      <c r="L149" s="37">
        <f t="shared" si="59"/>
        <v>80.864071043249609</v>
      </c>
      <c r="M149" s="146">
        <f t="shared" si="60"/>
        <v>0.31786071828732698</v>
      </c>
      <c r="N149" s="146">
        <f t="shared" si="56"/>
        <v>5.0195193231293289E-3</v>
      </c>
      <c r="O149" s="146">
        <f t="shared" si="53"/>
        <v>0.3463468332959237</v>
      </c>
      <c r="P149" s="156">
        <v>94</v>
      </c>
      <c r="Q149" s="37">
        <f t="shared" si="61"/>
        <v>225.75215830414299</v>
      </c>
      <c r="R149" s="146">
        <f t="shared" si="62"/>
        <v>0.72080476648524328</v>
      </c>
      <c r="S149" s="146">
        <f t="shared" si="57"/>
        <v>1.3832104976467585E-2</v>
      </c>
      <c r="T149" s="146">
        <f t="shared" si="58"/>
        <v>1.300217867787953</v>
      </c>
    </row>
    <row r="150" spans="11:20" x14ac:dyDescent="0.2">
      <c r="K150" s="156">
        <v>69.5</v>
      </c>
      <c r="L150" s="37">
        <f t="shared" si="59"/>
        <v>81.986900081853122</v>
      </c>
      <c r="M150" s="146">
        <f t="shared" si="60"/>
        <v>0.32294968865617557</v>
      </c>
      <c r="N150" s="146">
        <f t="shared" si="56"/>
        <v>5.0889703688485888E-3</v>
      </c>
      <c r="O150" s="146">
        <f t="shared" si="53"/>
        <v>0.35368344063497692</v>
      </c>
      <c r="P150" s="156">
        <v>94.5</v>
      </c>
      <c r="Q150" s="37">
        <f t="shared" si="61"/>
        <v>235.45851161160277</v>
      </c>
      <c r="R150" s="146">
        <f t="shared" si="62"/>
        <v>0.73521201207914799</v>
      </c>
      <c r="S150" s="146">
        <f t="shared" si="57"/>
        <v>1.4407245593904716E-2</v>
      </c>
      <c r="T150" s="146">
        <f t="shared" si="58"/>
        <v>1.3614847086239956</v>
      </c>
    </row>
    <row r="151" spans="11:20" x14ac:dyDescent="0.2">
      <c r="K151" s="156">
        <v>70</v>
      </c>
      <c r="L151" s="37">
        <f t="shared" si="59"/>
        <v>83.133697820577225</v>
      </c>
      <c r="M151" s="146">
        <f t="shared" si="60"/>
        <v>0.32810958011153157</v>
      </c>
      <c r="N151" s="146">
        <f t="shared" si="56"/>
        <v>5.1598914553560027E-3</v>
      </c>
      <c r="O151" s="146">
        <f t="shared" si="53"/>
        <v>0.36119240187492019</v>
      </c>
      <c r="P151" s="156">
        <v>95</v>
      </c>
      <c r="Q151" s="37">
        <f t="shared" si="61"/>
        <v>246.35508292548428</v>
      </c>
      <c r="R151" s="146">
        <f t="shared" si="62"/>
        <v>0.75026182656550433</v>
      </c>
      <c r="S151" s="146">
        <f t="shared" si="57"/>
        <v>1.5049814486356339E-2</v>
      </c>
      <c r="T151" s="146">
        <f t="shared" si="58"/>
        <v>1.4297323762038521</v>
      </c>
    </row>
    <row r="152" spans="11:20" x14ac:dyDescent="0.2">
      <c r="K152" s="155">
        <v>70.5</v>
      </c>
      <c r="L152" s="37">
        <f t="shared" si="59"/>
        <v>84.305401401953489</v>
      </c>
      <c r="M152" s="146">
        <f t="shared" si="60"/>
        <v>0.33334191971903526</v>
      </c>
      <c r="N152" s="146">
        <f t="shared" si="56"/>
        <v>5.2323396075036888E-3</v>
      </c>
      <c r="O152" s="146">
        <f t="shared" si="53"/>
        <v>0.36887994232901006</v>
      </c>
      <c r="P152" s="156">
        <v>95.5</v>
      </c>
      <c r="Q152" s="37">
        <f t="shared" si="61"/>
        <v>258.72828486878404</v>
      </c>
      <c r="R152" s="146">
        <f t="shared" si="62"/>
        <v>0.76603708545056848</v>
      </c>
      <c r="S152" s="146">
        <f t="shared" si="57"/>
        <v>1.5775258885064147E-2</v>
      </c>
      <c r="T152" s="146">
        <f t="shared" si="58"/>
        <v>1.5065372235236261</v>
      </c>
    </row>
    <row r="153" spans="11:20" x14ac:dyDescent="0.2">
      <c r="K153" s="156">
        <v>71</v>
      </c>
      <c r="L153" s="37">
        <f t="shared" si="59"/>
        <v>85.503000472890761</v>
      </c>
      <c r="M153" s="146">
        <f t="shared" si="60"/>
        <v>0.33864829473699115</v>
      </c>
      <c r="N153" s="146">
        <f t="shared" si="56"/>
        <v>5.3063750179558888E-3</v>
      </c>
      <c r="O153" s="146">
        <f t="shared" si="53"/>
        <v>0.37675262627486811</v>
      </c>
      <c r="P153" s="156">
        <v>96</v>
      </c>
      <c r="Q153" s="37">
        <f t="shared" si="61"/>
        <v>272.97567252367037</v>
      </c>
      <c r="R153" s="146">
        <f t="shared" si="62"/>
        <v>0.78264179003292444</v>
      </c>
      <c r="S153" s="146">
        <f t="shared" si="57"/>
        <v>1.6604704582355967E-2</v>
      </c>
      <c r="T153" s="146">
        <f t="shared" si="58"/>
        <v>1.5940516399061728</v>
      </c>
    </row>
    <row r="154" spans="11:20" x14ac:dyDescent="0.2">
      <c r="K154" s="156">
        <v>71.5</v>
      </c>
      <c r="L154" s="37">
        <f t="shared" si="59"/>
        <v>86.727541100481375</v>
      </c>
      <c r="M154" s="146">
        <f t="shared" si="60"/>
        <v>0.34403035601845666</v>
      </c>
      <c r="N154" s="146">
        <f t="shared" si="56"/>
        <v>5.3820612814655111E-3</v>
      </c>
      <c r="O154" s="146">
        <f t="shared" si="53"/>
        <v>0.38481738162478407</v>
      </c>
      <c r="P154" s="156">
        <v>96.5</v>
      </c>
      <c r="Q154" s="37">
        <f t="shared" si="61"/>
        <v>289.67000534070297</v>
      </c>
      <c r="R154" s="146">
        <f t="shared" si="62"/>
        <v>0.80020982811935604</v>
      </c>
      <c r="S154" s="146">
        <f t="shared" si="57"/>
        <v>1.7568038086431592E-2</v>
      </c>
      <c r="T154" s="146">
        <f t="shared" si="58"/>
        <v>1.6953156753406486</v>
      </c>
    </row>
    <row r="155" spans="11:20" x14ac:dyDescent="0.2">
      <c r="K155" s="155">
        <v>72</v>
      </c>
      <c r="L155" s="37">
        <f t="shared" si="59"/>
        <v>87.980130053536513</v>
      </c>
      <c r="M155" s="146">
        <f t="shared" si="60"/>
        <v>0.34948982166929254</v>
      </c>
      <c r="N155" s="146">
        <f t="shared" si="56"/>
        <v>5.4594656508358819E-3</v>
      </c>
      <c r="O155" s="146">
        <f t="shared" si="53"/>
        <v>0.39308152686018349</v>
      </c>
      <c r="P155" s="156">
        <v>97</v>
      </c>
      <c r="Q155" s="37">
        <f t="shared" si="61"/>
        <v>309.67615922470287</v>
      </c>
      <c r="R155" s="146">
        <f t="shared" si="62"/>
        <v>0.81891919315211914</v>
      </c>
      <c r="S155" s="146">
        <f t="shared" si="57"/>
        <v>1.8709365032763103E-2</v>
      </c>
      <c r="T155" s="146">
        <f t="shared" si="58"/>
        <v>1.8148084081780209</v>
      </c>
    </row>
    <row r="156" spans="11:20" x14ac:dyDescent="0.2">
      <c r="K156" s="156">
        <v>72.5</v>
      </c>
      <c r="L156" s="37">
        <f t="shared" si="59"/>
        <v>89.261939491224155</v>
      </c>
      <c r="M156" s="146">
        <f t="shared" si="60"/>
        <v>0.35502848098630579</v>
      </c>
      <c r="N156" s="146">
        <f t="shared" si="56"/>
        <v>5.5386593170132503E-3</v>
      </c>
      <c r="O156" s="146">
        <f t="shared" si="53"/>
        <v>0.40155280048346065</v>
      </c>
      <c r="P156" s="156">
        <v>97.5</v>
      </c>
      <c r="Q156" s="37">
        <f t="shared" si="61"/>
        <v>334.38262727544213</v>
      </c>
      <c r="R156" s="146">
        <f t="shared" si="62"/>
        <v>0.83901660615445239</v>
      </c>
      <c r="S156" s="146">
        <f t="shared" si="57"/>
        <v>2.0097413002333253E-2</v>
      </c>
      <c r="T156" s="146">
        <f t="shared" si="58"/>
        <v>1.9594977677274921</v>
      </c>
    </row>
    <row r="157" spans="11:20" x14ac:dyDescent="0.2">
      <c r="K157" s="156">
        <v>73</v>
      </c>
      <c r="L157" s="37">
        <f t="shared" si="59"/>
        <v>90.574212105701491</v>
      </c>
      <c r="M157" s="146">
        <f t="shared" si="60"/>
        <v>0.36064819870235432</v>
      </c>
      <c r="N157" s="146">
        <f t="shared" si="56"/>
        <v>5.6197177160485223E-3</v>
      </c>
      <c r="O157" s="146">
        <f t="shared" si="53"/>
        <v>0.41023939327154213</v>
      </c>
      <c r="P157" s="156">
        <v>98</v>
      </c>
      <c r="Q157" s="37">
        <f t="shared" si="61"/>
        <v>366.2126363828234</v>
      </c>
      <c r="R157" s="146">
        <f t="shared" si="62"/>
        <v>0.86086397236014089</v>
      </c>
      <c r="S157" s="146">
        <f t="shared" si="57"/>
        <v>2.1847366205688501E-2</v>
      </c>
      <c r="T157" s="146">
        <f t="shared" si="58"/>
        <v>2.1410418881574733</v>
      </c>
    </row>
    <row r="158" spans="11:20" x14ac:dyDescent="0.2">
      <c r="K158" s="155">
        <v>73.5</v>
      </c>
      <c r="L158" s="37">
        <f t="shared" si="59"/>
        <v>91.918266772016864</v>
      </c>
      <c r="M158" s="146">
        <f t="shared" si="60"/>
        <v>0.36635091956842836</v>
      </c>
      <c r="N158" s="146">
        <f t="shared" si="56"/>
        <v>5.7027208660740403E-3</v>
      </c>
      <c r="O158" s="146">
        <f t="shared" si="53"/>
        <v>0.41914998365644196</v>
      </c>
      <c r="P158" s="156">
        <v>98.5</v>
      </c>
      <c r="Q158" s="37">
        <f t="shared" si="61"/>
        <v>409.9404114089557</v>
      </c>
      <c r="R158" s="146">
        <f t="shared" si="62"/>
        <v>0.88503722549297215</v>
      </c>
      <c r="S158" s="146">
        <f t="shared" si="57"/>
        <v>2.4173253132831252E-2</v>
      </c>
      <c r="T158" s="146">
        <f t="shared" si="58"/>
        <v>2.3810654335838781</v>
      </c>
    </row>
    <row r="159" spans="11:20" x14ac:dyDescent="0.2">
      <c r="K159" s="156">
        <v>74</v>
      </c>
      <c r="L159" s="37">
        <f t="shared" si="59"/>
        <v>93.295504765933742</v>
      </c>
      <c r="M159" s="146">
        <f t="shared" si="60"/>
        <v>0.37213867330625744</v>
      </c>
      <c r="N159" s="146">
        <f t="shared" si="56"/>
        <v>5.7877537378290822E-3</v>
      </c>
      <c r="O159" s="146">
        <f t="shared" si="53"/>
        <v>0.42829377659935208</v>
      </c>
      <c r="P159" s="156">
        <v>99</v>
      </c>
      <c r="Q159" s="37">
        <f t="shared" si="61"/>
        <v>476.99674151126095</v>
      </c>
      <c r="R159" s="146">
        <f t="shared" si="62"/>
        <v>0.91257891285760584</v>
      </c>
      <c r="S159" s="146">
        <f t="shared" si="57"/>
        <v>2.7541687364633693E-2</v>
      </c>
      <c r="T159" s="146">
        <f t="shared" si="58"/>
        <v>2.7266270490987354</v>
      </c>
    </row>
    <row r="160" spans="11:20" x14ac:dyDescent="0.2">
      <c r="K160" s="156">
        <v>74.5</v>
      </c>
      <c r="L160" s="37">
        <f t="shared" si="59"/>
        <v>94.707416618902144</v>
      </c>
      <c r="M160" s="146">
        <f t="shared" si="60"/>
        <v>0.3780135799690591</v>
      </c>
      <c r="N160" s="146">
        <f t="shared" si="56"/>
        <v>5.87490666280166E-3</v>
      </c>
      <c r="O160" s="146">
        <f t="shared" si="53"/>
        <v>0.43768054637872367</v>
      </c>
      <c r="P160" s="156">
        <v>99.5</v>
      </c>
      <c r="Q160" s="37">
        <f t="shared" si="61"/>
        <v>607.52408082924194</v>
      </c>
      <c r="R160" s="146">
        <f t="shared" si="62"/>
        <v>0.94589485159218811</v>
      </c>
      <c r="S160" s="146">
        <f t="shared" si="57"/>
        <v>3.3315938734582273E-2</v>
      </c>
      <c r="T160" s="146">
        <f t="shared" si="58"/>
        <v>3.3149359040909361</v>
      </c>
    </row>
    <row r="161" spans="11:20" x14ac:dyDescent="0.2">
      <c r="K161" s="155">
        <v>75</v>
      </c>
      <c r="L161" s="37">
        <f t="shared" si="59"/>
        <v>96.155589689374622</v>
      </c>
      <c r="M161" s="146">
        <f t="shared" si="60"/>
        <v>0.3839778557526673</v>
      </c>
      <c r="N161" s="146">
        <f t="shared" si="56"/>
        <v>5.9642757836081972E-3</v>
      </c>
      <c r="O161" s="146">
        <f t="shared" si="53"/>
        <v>0.44732068377061479</v>
      </c>
      <c r="P161" s="156">
        <v>100</v>
      </c>
      <c r="Q161" s="37"/>
      <c r="R161" s="146">
        <v>1</v>
      </c>
      <c r="S161" s="146">
        <f t="shared" si="57"/>
        <v>5.4105148407811887E-2</v>
      </c>
      <c r="T161" s="146">
        <f t="shared" si="58"/>
        <v>5.4105148407811887</v>
      </c>
    </row>
    <row r="162" spans="11:20" x14ac:dyDescent="0.2">
      <c r="K162" s="122"/>
      <c r="L162" s="37"/>
      <c r="M162" s="146"/>
      <c r="N162" s="146" t="s">
        <v>112</v>
      </c>
      <c r="O162" s="146">
        <f>SUM(O112:O161)</f>
        <v>13.962742062814838</v>
      </c>
      <c r="S162" s="1" t="s">
        <v>116</v>
      </c>
      <c r="T162" s="18">
        <f>SUM(T112:T161)</f>
        <v>56.323793303859681</v>
      </c>
    </row>
    <row r="163" spans="11:20" x14ac:dyDescent="0.2">
      <c r="S163" s="157" t="s">
        <v>125</v>
      </c>
      <c r="T163" s="19">
        <f>O162+T162+Q108</f>
        <v>75.59690960634309</v>
      </c>
    </row>
  </sheetData>
  <pageMargins left="0.7" right="0.7" top="0.75" bottom="0.75" header="0.3" footer="0.3"/>
  <pageSetup orientation="portrait" horizontalDpi="0" verticalDpi="0" r:id="rId1"/>
  <headerFooter>
    <oddHeader>&amp;L7/18/2015&amp;CLognormal Distributions 
by Mean-Median Ratio&amp;RV0K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</vt:lpstr>
      <vt:lpstr>S2</vt:lpstr>
      <vt:lpstr>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Lognormal Distributions as function of Mean-Median Ratios</dc:title>
  <dc:creator>Milo Schield</dc:creator>
  <cp:lastModifiedBy>Milo Schield</cp:lastModifiedBy>
  <cp:lastPrinted>2015-04-19T22:48:30Z</cp:lastPrinted>
  <dcterms:created xsi:type="dcterms:W3CDTF">2013-11-01T09:20:08Z</dcterms:created>
  <dcterms:modified xsi:type="dcterms:W3CDTF">2015-07-18T13:59:07Z</dcterms:modified>
</cp:coreProperties>
</file>